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M:\Doug\1 CR Projects\18  RF Design Tools\"/>
    </mc:Choice>
  </mc:AlternateContent>
  <xr:revisionPtr revIDLastSave="0" documentId="13_ncr:1_{5DDA6B40-B96D-4F15-B0C1-E25744ED1105}" xr6:coauthVersionLast="45" xr6:coauthVersionMax="45" xr10:uidLastSave="{00000000-0000-0000-0000-000000000000}"/>
  <bookViews>
    <workbookView xWindow="28680" yWindow="-120" windowWidth="29040" windowHeight="16440" xr2:uid="{00000000-000D-0000-FFFF-FFFF00000000}"/>
  </bookViews>
  <sheets>
    <sheet name="Overview" sheetId="5" r:id="rId1"/>
    <sheet name="RF System Calc" sheetId="1" r:id="rId2"/>
    <sheet name="RF System Calc P2" sheetId="6" r:id="rId3"/>
    <sheet name="Daisy Chain Calc" sheetId="2" r:id="rId4"/>
    <sheet name="Data"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5" i="6" l="1"/>
  <c r="AH25" i="6"/>
  <c r="AG25" i="6"/>
  <c r="AF25" i="6"/>
  <c r="AE25" i="6"/>
  <c r="AD25" i="6"/>
  <c r="AC25" i="6"/>
  <c r="AB25" i="6"/>
  <c r="AA25" i="6"/>
  <c r="W25" i="6"/>
  <c r="V25" i="6"/>
  <c r="U25" i="6"/>
  <c r="T25" i="6"/>
  <c r="S25" i="6"/>
  <c r="R25" i="6"/>
  <c r="Q25" i="6"/>
  <c r="P25" i="6"/>
  <c r="L25" i="6"/>
  <c r="K25" i="6"/>
  <c r="J25" i="6"/>
  <c r="I25" i="6"/>
  <c r="H25" i="6"/>
  <c r="G25" i="6"/>
  <c r="F25" i="6"/>
  <c r="E25" i="6"/>
  <c r="AC7" i="6"/>
  <c r="AB7" i="6"/>
  <c r="R7" i="6"/>
  <c r="Q7" i="6"/>
  <c r="H7" i="6"/>
  <c r="G7" i="6"/>
  <c r="G3" i="6"/>
  <c r="Y7" i="6" s="1"/>
  <c r="F3" i="6"/>
  <c r="E3" i="6"/>
  <c r="N7" i="6" l="1"/>
  <c r="AJ25" i="1"/>
  <c r="AB7" i="1"/>
  <c r="AH25" i="1"/>
  <c r="AG25" i="1"/>
  <c r="AF25" i="1"/>
  <c r="AE25" i="1"/>
  <c r="AD25" i="1"/>
  <c r="AC25" i="1"/>
  <c r="AB25" i="1"/>
  <c r="AA25" i="1"/>
  <c r="W25" i="1"/>
  <c r="V25" i="1"/>
  <c r="U25" i="1"/>
  <c r="T25" i="1"/>
  <c r="S25" i="1"/>
  <c r="R25" i="1"/>
  <c r="Q25" i="1"/>
  <c r="P25" i="1"/>
  <c r="L25" i="1"/>
  <c r="K25" i="1"/>
  <c r="J25" i="1"/>
  <c r="I25" i="1"/>
  <c r="H25" i="1"/>
  <c r="G25" i="1"/>
  <c r="F25" i="1"/>
  <c r="E25" i="1"/>
  <c r="AC7" i="1" l="1"/>
  <c r="N46" i="2" l="1"/>
  <c r="N42" i="2"/>
  <c r="N38" i="2"/>
  <c r="N34" i="2"/>
  <c r="N30" i="2"/>
  <c r="N26" i="2"/>
  <c r="N22" i="2"/>
  <c r="N18" i="2"/>
  <c r="N14" i="2"/>
  <c r="N10" i="2"/>
  <c r="O8" i="2"/>
  <c r="O12" i="2" s="1"/>
  <c r="O16" i="2" s="1"/>
  <c r="O20" i="2" s="1"/>
  <c r="O24" i="2" s="1"/>
  <c r="O28" i="2" s="1"/>
  <c r="O32" i="2" s="1"/>
  <c r="O36" i="2" s="1"/>
  <c r="O40" i="2" s="1"/>
  <c r="O44" i="2" s="1"/>
  <c r="J46" i="2"/>
  <c r="J42" i="2"/>
  <c r="J38" i="2"/>
  <c r="J34" i="2"/>
  <c r="J30" i="2"/>
  <c r="J26" i="2"/>
  <c r="J22" i="2"/>
  <c r="J18" i="2"/>
  <c r="J14" i="2"/>
  <c r="J10" i="2"/>
  <c r="K8" i="2"/>
  <c r="K12" i="2" s="1"/>
  <c r="K16" i="2" s="1"/>
  <c r="K20" i="2" s="1"/>
  <c r="K24" i="2" s="1"/>
  <c r="K28" i="2" s="1"/>
  <c r="K32" i="2" s="1"/>
  <c r="K36" i="2" s="1"/>
  <c r="K40" i="2" s="1"/>
  <c r="K44" i="2" s="1"/>
  <c r="F46" i="2"/>
  <c r="F42" i="2"/>
  <c r="F38" i="2"/>
  <c r="F34" i="2"/>
  <c r="F30" i="2"/>
  <c r="F26" i="2"/>
  <c r="F22" i="2"/>
  <c r="F18" i="2"/>
  <c r="F14" i="2"/>
  <c r="F10" i="2"/>
  <c r="G8" i="2"/>
  <c r="G12" i="2" s="1"/>
  <c r="G16" i="2" s="1"/>
  <c r="G20" i="2" s="1"/>
  <c r="G24" i="2" s="1"/>
  <c r="G28" i="2" s="1"/>
  <c r="R7" i="1"/>
  <c r="Q7" i="1"/>
  <c r="G3" i="1"/>
  <c r="F3" i="1"/>
  <c r="E3" i="1"/>
  <c r="G7" i="1"/>
  <c r="B3" i="2" l="1"/>
  <c r="N7" i="1"/>
  <c r="Y7" i="1"/>
  <c r="G32" i="2"/>
  <c r="B10" i="2"/>
  <c r="B46" i="2"/>
  <c r="B42" i="2"/>
  <c r="B38" i="2"/>
  <c r="B34" i="2"/>
  <c r="B30" i="2"/>
  <c r="B26" i="2"/>
  <c r="B22" i="2"/>
  <c r="B18" i="2"/>
  <c r="B14" i="2"/>
  <c r="H7" i="1"/>
  <c r="O7" i="1" l="1"/>
  <c r="G36" i="2"/>
  <c r="Z7" i="1" l="1"/>
  <c r="AA9" i="1" s="1"/>
  <c r="U9" i="1"/>
  <c r="P9" i="1"/>
  <c r="V9" i="1"/>
  <c r="W9" i="1"/>
  <c r="S9" i="1"/>
  <c r="Q9" i="1"/>
  <c r="T9" i="1"/>
  <c r="R9" i="1"/>
  <c r="G40" i="2"/>
  <c r="AB9" i="1" l="1"/>
  <c r="AB22" i="1" s="1"/>
  <c r="AH9" i="1"/>
  <c r="AH21" i="1" s="1"/>
  <c r="AJ9" i="1"/>
  <c r="AJ22" i="1" s="1"/>
  <c r="AD9" i="1"/>
  <c r="AD21" i="1" s="1"/>
  <c r="AD26" i="1" s="1"/>
  <c r="AF9" i="1"/>
  <c r="AF21" i="1" s="1"/>
  <c r="AF26" i="1" s="1"/>
  <c r="AE9" i="1"/>
  <c r="AE22" i="1" s="1"/>
  <c r="AC9" i="1"/>
  <c r="AC22" i="1" s="1"/>
  <c r="AG9" i="1"/>
  <c r="AG21" i="1" s="1"/>
  <c r="AG26" i="1" s="1"/>
  <c r="AA22" i="1"/>
  <c r="AA21" i="1"/>
  <c r="AA26" i="1" s="1"/>
  <c r="AF22" i="1"/>
  <c r="AF20" i="1" s="1"/>
  <c r="AB21" i="1"/>
  <c r="G44" i="2"/>
  <c r="W22" i="1"/>
  <c r="W21" i="1"/>
  <c r="W26" i="1" s="1"/>
  <c r="T22" i="1"/>
  <c r="T21" i="1"/>
  <c r="T26" i="1" s="1"/>
  <c r="U22" i="1"/>
  <c r="U21" i="1"/>
  <c r="U26" i="1" s="1"/>
  <c r="V22" i="1"/>
  <c r="V21" i="1"/>
  <c r="V26" i="1" s="1"/>
  <c r="C8" i="2"/>
  <c r="AD22" i="1" l="1"/>
  <c r="AD20" i="1" s="1"/>
  <c r="AG22" i="1"/>
  <c r="AG20" i="1" s="1"/>
  <c r="AH22" i="1"/>
  <c r="AH20" i="1" s="1"/>
  <c r="AE21" i="1"/>
  <c r="AE26" i="1" s="1"/>
  <c r="AC21" i="1"/>
  <c r="AC20" i="1" s="1"/>
  <c r="AJ21" i="1"/>
  <c r="AJ26" i="1" s="1"/>
  <c r="C7" i="6" s="1"/>
  <c r="G9" i="6" s="1"/>
  <c r="AA20" i="1"/>
  <c r="AH26" i="1"/>
  <c r="AB26" i="1"/>
  <c r="AB20" i="1"/>
  <c r="T20" i="1"/>
  <c r="V20" i="1"/>
  <c r="U20" i="1"/>
  <c r="W20" i="1"/>
  <c r="C12" i="2"/>
  <c r="C16" i="2" s="1"/>
  <c r="C20" i="2" s="1"/>
  <c r="C24" i="2" s="1"/>
  <c r="C28" i="2" s="1"/>
  <c r="L9" i="1"/>
  <c r="K9" i="1"/>
  <c r="J9" i="1"/>
  <c r="I9" i="1"/>
  <c r="H9" i="1"/>
  <c r="G9" i="1"/>
  <c r="F9" i="1"/>
  <c r="E9" i="1"/>
  <c r="E22" i="1" s="1"/>
  <c r="AE20" i="1" l="1"/>
  <c r="AJ20" i="1"/>
  <c r="H9" i="6"/>
  <c r="H22" i="6" s="1"/>
  <c r="K9" i="6"/>
  <c r="K21" i="6" s="1"/>
  <c r="K26" i="6" s="1"/>
  <c r="AC26" i="1"/>
  <c r="O7" i="6"/>
  <c r="I9" i="6"/>
  <c r="I22" i="6" s="1"/>
  <c r="J9" i="6"/>
  <c r="J22" i="6" s="1"/>
  <c r="E9" i="6"/>
  <c r="E22" i="6" s="1"/>
  <c r="F9" i="6"/>
  <c r="F22" i="6" s="1"/>
  <c r="L9" i="6"/>
  <c r="L21" i="6" s="1"/>
  <c r="L26" i="6" s="1"/>
  <c r="G22" i="6"/>
  <c r="G21" i="6"/>
  <c r="G26" i="6" s="1"/>
  <c r="K21" i="1"/>
  <c r="K26" i="1" s="1"/>
  <c r="K22" i="1"/>
  <c r="E21" i="1"/>
  <c r="E26" i="1" s="1"/>
  <c r="F21" i="1"/>
  <c r="F22" i="1"/>
  <c r="J21" i="1"/>
  <c r="J26" i="1" s="1"/>
  <c r="J22" i="1"/>
  <c r="S21" i="1"/>
  <c r="S26" i="1" s="1"/>
  <c r="S22" i="1"/>
  <c r="L21" i="1"/>
  <c r="L26" i="1" s="1"/>
  <c r="L22" i="1"/>
  <c r="G21" i="1"/>
  <c r="G22" i="1"/>
  <c r="H21" i="1"/>
  <c r="H22" i="1"/>
  <c r="I21" i="1"/>
  <c r="I26" i="1" s="1"/>
  <c r="I22" i="1"/>
  <c r="C32" i="2"/>
  <c r="K22" i="6" l="1"/>
  <c r="K20" i="6" s="1"/>
  <c r="J21" i="6"/>
  <c r="J26" i="6" s="1"/>
  <c r="H21" i="6"/>
  <c r="H26" i="6" s="1"/>
  <c r="U9" i="6"/>
  <c r="U21" i="6" s="1"/>
  <c r="U26" i="6" s="1"/>
  <c r="Z7" i="6"/>
  <c r="AE9" i="6" s="1"/>
  <c r="I21" i="6"/>
  <c r="I26" i="6" s="1"/>
  <c r="L22" i="6"/>
  <c r="L20" i="6" s="1"/>
  <c r="F21" i="6"/>
  <c r="F26" i="6" s="1"/>
  <c r="P9" i="6"/>
  <c r="P21" i="6" s="1"/>
  <c r="P26" i="6" s="1"/>
  <c r="E21" i="6"/>
  <c r="E26" i="6" s="1"/>
  <c r="Q9" i="6"/>
  <c r="Q22" i="6" s="1"/>
  <c r="R9" i="6"/>
  <c r="R21" i="6" s="1"/>
  <c r="R26" i="6" s="1"/>
  <c r="S9" i="6"/>
  <c r="S21" i="6" s="1"/>
  <c r="S26" i="6" s="1"/>
  <c r="V9" i="6"/>
  <c r="V22" i="6" s="1"/>
  <c r="T9" i="6"/>
  <c r="T22" i="6" s="1"/>
  <c r="W9" i="6"/>
  <c r="W22" i="6" s="1"/>
  <c r="AC9" i="6"/>
  <c r="AA9" i="6"/>
  <c r="G20" i="6"/>
  <c r="N6" i="2"/>
  <c r="H26" i="1"/>
  <c r="F6" i="2"/>
  <c r="F26" i="1"/>
  <c r="H20" i="1"/>
  <c r="L20" i="1"/>
  <c r="J20" i="1"/>
  <c r="E20" i="1"/>
  <c r="F20" i="1"/>
  <c r="J6" i="2"/>
  <c r="G26" i="1"/>
  <c r="I20" i="1"/>
  <c r="G20" i="1"/>
  <c r="S20" i="1"/>
  <c r="K20" i="1"/>
  <c r="B6" i="2"/>
  <c r="R21" i="1"/>
  <c r="R26" i="1" s="1"/>
  <c r="R22" i="1"/>
  <c r="Q21" i="1"/>
  <c r="Q26" i="1" s="1"/>
  <c r="Q22" i="1"/>
  <c r="P21" i="1"/>
  <c r="P26" i="1" s="1"/>
  <c r="P22" i="1"/>
  <c r="C36" i="2"/>
  <c r="P22" i="6" l="1"/>
  <c r="AH9" i="6"/>
  <c r="AH22" i="6" s="1"/>
  <c r="AB9" i="6"/>
  <c r="J20" i="6"/>
  <c r="U22" i="6"/>
  <c r="U20" i="6" s="1"/>
  <c r="F20" i="6"/>
  <c r="AJ9" i="6"/>
  <c r="AJ22" i="6" s="1"/>
  <c r="AF9" i="6"/>
  <c r="AF22" i="6" s="1"/>
  <c r="H20" i="6"/>
  <c r="I20" i="6"/>
  <c r="AD9" i="6"/>
  <c r="AD22" i="6" s="1"/>
  <c r="AG9" i="6"/>
  <c r="AG22" i="6" s="1"/>
  <c r="E20" i="6"/>
  <c r="R22" i="6"/>
  <c r="R20" i="6" s="1"/>
  <c r="W21" i="6"/>
  <c r="W26" i="6" s="1"/>
  <c r="S22" i="6"/>
  <c r="S20" i="6" s="1"/>
  <c r="Q21" i="6"/>
  <c r="Q26" i="6" s="1"/>
  <c r="T21" i="6"/>
  <c r="T26" i="6" s="1"/>
  <c r="V21" i="6"/>
  <c r="V26" i="6" s="1"/>
  <c r="P20" i="6"/>
  <c r="AH21" i="6"/>
  <c r="AH26" i="6" s="1"/>
  <c r="AB22" i="6"/>
  <c r="AB21" i="6"/>
  <c r="AB26" i="6" s="1"/>
  <c r="AC21" i="6"/>
  <c r="AC26" i="6" s="1"/>
  <c r="AC22" i="6"/>
  <c r="AE22" i="6"/>
  <c r="AE21" i="6"/>
  <c r="AE26" i="6" s="1"/>
  <c r="AA22" i="6"/>
  <c r="AA21" i="6"/>
  <c r="AA26" i="6" s="1"/>
  <c r="R20" i="1"/>
  <c r="P20" i="1"/>
  <c r="Q20" i="1"/>
  <c r="O10" i="2"/>
  <c r="O26" i="2"/>
  <c r="O42" i="2"/>
  <c r="K10" i="2"/>
  <c r="K34" i="2"/>
  <c r="G30" i="2"/>
  <c r="G18" i="2"/>
  <c r="O14" i="2"/>
  <c r="O30" i="2"/>
  <c r="O46" i="2"/>
  <c r="K18" i="2"/>
  <c r="K38" i="2"/>
  <c r="G22" i="2"/>
  <c r="O18" i="2"/>
  <c r="O34" i="2"/>
  <c r="K14" i="2"/>
  <c r="K22" i="2"/>
  <c r="K42" i="2"/>
  <c r="G10" i="2"/>
  <c r="G26" i="2"/>
  <c r="O22" i="2"/>
  <c r="O38" i="2"/>
  <c r="K30" i="2"/>
  <c r="K26" i="2"/>
  <c r="K46" i="2"/>
  <c r="G14" i="2"/>
  <c r="G34" i="2"/>
  <c r="G38" i="2"/>
  <c r="G42" i="2"/>
  <c r="G46" i="2"/>
  <c r="C34" i="2"/>
  <c r="C22" i="2"/>
  <c r="C26" i="2"/>
  <c r="C10" i="2"/>
  <c r="C30" i="2"/>
  <c r="C14" i="2"/>
  <c r="C18" i="2"/>
  <c r="C38" i="2"/>
  <c r="C40" i="2"/>
  <c r="C44" i="2" s="1"/>
  <c r="AJ21" i="6" l="1"/>
  <c r="AJ26" i="6" s="1"/>
  <c r="AF21" i="6"/>
  <c r="AF26" i="6" s="1"/>
  <c r="AG21" i="6"/>
  <c r="AG26" i="6" s="1"/>
  <c r="AD21" i="6"/>
  <c r="AD26" i="6" s="1"/>
  <c r="W20" i="6"/>
  <c r="Q20" i="6"/>
  <c r="T20" i="6"/>
  <c r="V20" i="6"/>
  <c r="AA20" i="6"/>
  <c r="AH20" i="6"/>
  <c r="AE20" i="6"/>
  <c r="AC20" i="6"/>
  <c r="AJ20" i="6"/>
  <c r="AB20" i="6"/>
  <c r="C42" i="2"/>
  <c r="C46" i="2"/>
  <c r="AF20" i="6" l="1"/>
  <c r="AG20" i="6"/>
  <c r="AD20" i="6"/>
</calcChain>
</file>

<file path=xl/sharedStrings.xml><?xml version="1.0" encoding="utf-8"?>
<sst xmlns="http://schemas.openxmlformats.org/spreadsheetml/2006/main" count="446" uniqueCount="130">
  <si>
    <t>8-way Tap</t>
  </si>
  <si>
    <t>In</t>
  </si>
  <si>
    <t>dB</t>
  </si>
  <si>
    <t xml:space="preserve"> </t>
  </si>
  <si>
    <t>Feet</t>
  </si>
  <si>
    <t>Cable Loss</t>
  </si>
  <si>
    <t>TV dB</t>
  </si>
  <si>
    <t>2-97</t>
  </si>
  <si>
    <t>Chan</t>
  </si>
  <si>
    <t>2-13</t>
  </si>
  <si>
    <t>2-32</t>
  </si>
  <si>
    <t>2-71</t>
  </si>
  <si>
    <t>Loss</t>
  </si>
  <si>
    <t>The amount of loss varies by the highest channel frequency in the system</t>
  </si>
  <si>
    <t>Tap dB</t>
  </si>
  <si>
    <t>1-way Tap</t>
  </si>
  <si>
    <t>2-way Tap</t>
  </si>
  <si>
    <t>4-way Tap</t>
  </si>
  <si>
    <t>Daisy-Chain Calc</t>
  </si>
  <si>
    <t xml:space="preserve">Initial RF Level </t>
  </si>
  <si>
    <t>Feet Run | Total</t>
  </si>
  <si>
    <t>Typical Tap loss</t>
  </si>
  <si>
    <t>Notes</t>
  </si>
  <si>
    <t>1. Enter the  cable attenuation loss for the system</t>
  </si>
  <si>
    <t>2. Enter the typical Tap insertion loss expected</t>
  </si>
  <si>
    <t>Insertion loss at 550 MHz, 211 Mhz ratings will be less</t>
  </si>
  <si>
    <t>3. Enter the initial RF level where the chain begins</t>
  </si>
  <si>
    <t>4. Enter the distances between taps</t>
  </si>
  <si>
    <t>5. Change tap dB to reach desired level</t>
  </si>
  <si>
    <t>MHz</t>
  </si>
  <si>
    <t># Chan</t>
  </si>
  <si>
    <t>RF Feed</t>
  </si>
  <si>
    <t>RG11</t>
  </si>
  <si>
    <t xml:space="preserve">RG6 </t>
  </si>
  <si>
    <t>Coax loss</t>
  </si>
  <si>
    <t>1.5</t>
  </si>
  <si>
    <t>1.81</t>
  </si>
  <si>
    <t>2.06</t>
  </si>
  <si>
    <t>2.85</t>
  </si>
  <si>
    <t>Highest Channel</t>
  </si>
  <si>
    <t>Channel 2</t>
  </si>
  <si>
    <r>
      <rPr>
        <sz val="11"/>
        <color rgb="FFFF0000"/>
        <rFont val="Calibri"/>
        <family val="2"/>
        <scheme val="minor"/>
      </rPr>
      <t>Feet Run</t>
    </r>
    <r>
      <rPr>
        <sz val="11"/>
        <color theme="1"/>
        <rFont val="Calibri"/>
        <family val="2"/>
        <scheme val="minor"/>
      </rPr>
      <t xml:space="preserve"> | Total</t>
    </r>
  </si>
  <si>
    <t>Last should terminate</t>
  </si>
  <si>
    <t>2-W Splitter</t>
  </si>
  <si>
    <t>4-W Splitter</t>
  </si>
  <si>
    <t>8-W Splitter</t>
  </si>
  <si>
    <t>24 dB Tap</t>
  </si>
  <si>
    <t>20 dB Tap</t>
  </si>
  <si>
    <t>14 dB Tap</t>
  </si>
  <si>
    <t>12 dB Tap</t>
  </si>
  <si>
    <t>Component</t>
  </si>
  <si>
    <t>RF Out Loss</t>
  </si>
  <si>
    <t>`</t>
  </si>
  <si>
    <t>Type</t>
  </si>
  <si>
    <t>Select Type</t>
  </si>
  <si>
    <t>Channels</t>
  </si>
  <si>
    <t>Loss-100'</t>
  </si>
  <si>
    <t># Chans</t>
  </si>
  <si>
    <t>This sheet calculatess RF feeds  from two components:</t>
  </si>
  <si>
    <t>Select component type from yellow pull-down list at each tap</t>
  </si>
  <si>
    <t>This selects dB loss at each output or tap</t>
  </si>
  <si>
    <t>Out dB</t>
  </si>
  <si>
    <t>Select system bandwidth - Chose options from yellow pull-down menu. Splitters don't have an RF Out feed.</t>
  </si>
  <si>
    <t>This affects attenuation from RF cable, per 100 feet at the highest channel frequency</t>
  </si>
  <si>
    <t>The app calculates the dB level of Channel 2 and the highest channel.</t>
  </si>
  <si>
    <t>Enter cable distance in feet to TV or device. Values in Red text</t>
  </si>
  <si>
    <t>This sheet calculates dB levels in 10 daisy chain steps. You only need to solve to the number of step you use.</t>
  </si>
  <si>
    <t>For now, I've included 4 runs, receiving values from the Home Run sheet and the first 4 Tap RF feeds</t>
  </si>
  <si>
    <t>You can use the values or add your own (those will delete the reference)</t>
  </si>
  <si>
    <t>Select a Tap or Splitter from the yellow pull-down menu</t>
  </si>
  <si>
    <t>It's not uncommon to end the last few in a run with a splitter. The value shown will be for all the TVs fed from the splitter.</t>
  </si>
  <si>
    <t>Be sure to use terminating caps on the empty feeds on the last tap or splitter.</t>
  </si>
  <si>
    <t>Enter cable distance to each tap (Red Text). The app will total the count as you go.</t>
  </si>
  <si>
    <t>The dB at each tap is calculated, factors in cable loss as well. Show hightest channel loss, Channel 2 level below.</t>
  </si>
  <si>
    <t>All dB levels represent dBmV.</t>
  </si>
  <si>
    <t>Each block shows dB at highest channel</t>
  </si>
  <si>
    <t xml:space="preserve">  </t>
  </si>
  <si>
    <t>dB at each TV</t>
  </si>
  <si>
    <t>Location</t>
  </si>
  <si>
    <t>RF System Calc</t>
  </si>
  <si>
    <t>RF System Calc Tab</t>
  </si>
  <si>
    <t>Enter the RF level of the main RF feed - Red Text (in dB)</t>
  </si>
  <si>
    <t>Yellow Cell</t>
  </si>
  <si>
    <t>Pull-down Menu bar</t>
  </si>
  <si>
    <t>Red Text</t>
  </si>
  <si>
    <t>Data entry</t>
  </si>
  <si>
    <t>Data</t>
  </si>
  <si>
    <t>Data and calculated value</t>
  </si>
  <si>
    <t>There are 3 types of cells:</t>
  </si>
  <si>
    <t>Process</t>
  </si>
  <si>
    <t>You can add a splitter or tap at the end of the run</t>
  </si>
  <si>
    <r>
      <t xml:space="preserve">The difference is called the </t>
    </r>
    <r>
      <rPr>
        <b/>
        <sz val="11"/>
        <color theme="1"/>
        <rFont val="Calibri"/>
        <family val="2"/>
        <scheme val="minor"/>
      </rPr>
      <t>slope,</t>
    </r>
    <r>
      <rPr>
        <sz val="11"/>
        <color theme="1"/>
        <rFont val="Calibri"/>
        <family val="2"/>
        <scheme val="minor"/>
      </rPr>
      <t xml:space="preserve"> a figure more signficant with a large number of channels </t>
    </r>
  </si>
  <si>
    <t>RF Out</t>
  </si>
  <si>
    <t>Taps at end of run can act as splitter with attenuator. If level to Tv using splitter is too high, use a tap with the right dB reduction to lower level.</t>
  </si>
  <si>
    <t>The goal is to hit the TVs at 0 dB for digital channels, 10 dB for analog. It's OK to hit the levels a bit higher in planning. You can always lower origiinal RF level when installing.</t>
  </si>
  <si>
    <t xml:space="preserve">It's a good idea to invest in a digital channel meter for the install. Then you know what the real-world levels and losses are. </t>
  </si>
  <si>
    <t>RF Channel selection</t>
  </si>
  <si>
    <t>The pull-down menu in cell D3 selects one of several ranges of channels typical with in-house RF systems.</t>
  </si>
  <si>
    <t>Actual Channels</t>
  </si>
  <si>
    <t>2-6, 95-97</t>
  </si>
  <si>
    <t>Highest Frequency</t>
  </si>
  <si>
    <t>2-6, 95-99, 14-22, 7-13</t>
  </si>
  <si>
    <t># Channels</t>
  </si>
  <si>
    <t>2-6, 95-99, 14-22, 7-32</t>
  </si>
  <si>
    <t>2-6, 95-99, 14-22, 7-71</t>
  </si>
  <si>
    <t>As cable channel frequencies evolved over time, the channel numbers aren't in sequence by frequency.</t>
  </si>
  <si>
    <t>The app calculates losses at the highest channel in the range, as well as Channel 2.</t>
  </si>
  <si>
    <t>The differnence isn't significant in systems with a few channels, and become greater with higher channels and longer cable distances.</t>
  </si>
  <si>
    <t xml:space="preserve">Tilt is the difference in RF levels from the highest to the lowest channel in the range. </t>
  </si>
  <si>
    <t>A slope filter (or cable EQ) can level out the difference. For example, if the slope is 12 dB in one run, a 12 dB slope filter will</t>
  </si>
  <si>
    <t>average power levels to equal the lowest channel. Low channels get less power, higher have more power to compensate for attenuation.</t>
  </si>
  <si>
    <t>Tilt</t>
  </si>
  <si>
    <t>None</t>
  </si>
  <si>
    <t>If you have long runs at the end of that tap or splitter, enter the longest coax run to a TV, and we'll calculate the worst-case loss</t>
  </si>
  <si>
    <t xml:space="preserve">The perfect target level to each TV is zero, a level of about 5-10 gives you a good fudge factor. You can always turn down the amp. </t>
  </si>
  <si>
    <t>23 dB Tap</t>
  </si>
  <si>
    <t>Name</t>
  </si>
  <si>
    <t>The yellow cells are pull-down lists of channel ranges and components</t>
  </si>
  <si>
    <t>Red text indicates cells where you can enter distances and names</t>
  </si>
  <si>
    <t>Always terminate unused outputs</t>
  </si>
  <si>
    <t>Valid RF levels to TV are between -10  to +10</t>
  </si>
  <si>
    <t>Aim for about 5-10 dB to the TV, you may need to attenuate levels over 15 dB</t>
  </si>
  <si>
    <t>Level to TV</t>
  </si>
  <si>
    <t>Or P2</t>
  </si>
  <si>
    <t>17 dB Tap</t>
  </si>
  <si>
    <t>27 dB Tap</t>
  </si>
  <si>
    <r>
      <t xml:space="preserve">The </t>
    </r>
    <r>
      <rPr>
        <b/>
        <sz val="11"/>
        <color theme="1"/>
        <rFont val="Calibri"/>
        <family val="2"/>
        <scheme val="minor"/>
      </rPr>
      <t>RF Out Loss</t>
    </r>
    <r>
      <rPr>
        <sz val="11"/>
        <color theme="1"/>
        <rFont val="Calibri"/>
        <family val="2"/>
        <scheme val="minor"/>
      </rPr>
      <t xml:space="preserve"> is based on 8-Way Taps, at 550 MHz. </t>
    </r>
  </si>
  <si>
    <t>You can save the last RF Out for the really long run in the system</t>
  </si>
  <si>
    <t>The last RF Out in this spreadsheet feeds the first tap  on RF System Calc Page 2</t>
  </si>
  <si>
    <t>RF System Calc - Big House Sound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</si>
</sst>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color rgb="FF7030A0"/>
      <name val="Calibri"/>
      <family val="2"/>
      <scheme val="minor"/>
    </font>
    <font>
      <i/>
      <sz val="11"/>
      <color rgb="FF7030A0"/>
      <name val="Calibri"/>
      <family val="2"/>
      <scheme val="minor"/>
    </font>
    <font>
      <sz val="11"/>
      <color theme="3"/>
      <name val="Calibri"/>
      <family val="2"/>
      <scheme val="minor"/>
    </font>
    <font>
      <sz val="9"/>
      <color theme="1"/>
      <name val="Calibri"/>
      <family val="2"/>
      <scheme val="minor"/>
    </font>
    <font>
      <sz val="9"/>
      <color rgb="FFFF0000"/>
      <name val="Calibri"/>
      <family val="2"/>
      <scheme val="minor"/>
    </font>
    <font>
      <sz val="9"/>
      <name val="Calibri"/>
      <family val="2"/>
      <scheme val="minor"/>
    </font>
    <font>
      <i/>
      <sz val="9"/>
      <color rgb="FF7030A0"/>
      <name val="Calibri"/>
      <family val="2"/>
      <scheme val="minor"/>
    </font>
    <font>
      <sz val="9"/>
      <color rgb="FF7030A0"/>
      <name val="Calibri"/>
      <family val="2"/>
      <scheme val="minor"/>
    </font>
    <font>
      <b/>
      <sz val="9"/>
      <color theme="1"/>
      <name val="Calibri"/>
      <family val="2"/>
      <scheme val="minor"/>
    </font>
    <font>
      <b/>
      <sz val="9"/>
      <color theme="9" tint="-0.249977111117893"/>
      <name val="Calibri"/>
      <family val="2"/>
      <scheme val="minor"/>
    </font>
    <font>
      <b/>
      <sz val="9"/>
      <color rgb="FF7030A0"/>
      <name val="Calibri"/>
      <family val="2"/>
      <scheme val="minor"/>
    </font>
    <font>
      <b/>
      <sz val="9"/>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7">
    <xf numFmtId="0" fontId="0" fillId="0" borderId="0" xfId="0"/>
    <xf numFmtId="0" fontId="0" fillId="0" borderId="0" xfId="0" applyBorder="1"/>
    <xf numFmtId="0" fontId="2" fillId="0" borderId="0" xfId="0" applyFont="1"/>
    <xf numFmtId="0" fontId="3" fillId="0" borderId="0" xfId="0" applyFont="1"/>
    <xf numFmtId="0" fontId="1" fillId="0" borderId="9" xfId="0" applyFont="1" applyBorder="1"/>
    <xf numFmtId="0" fontId="0" fillId="0" borderId="0" xfId="0" applyAlignment="1">
      <alignment horizontal="right"/>
    </xf>
    <xf numFmtId="49" fontId="0" fillId="0" borderId="0" xfId="0" applyNumberFormat="1" applyAlignment="1">
      <alignment horizontal="center"/>
    </xf>
    <xf numFmtId="0" fontId="0" fillId="0" borderId="9" xfId="0" applyBorder="1" applyAlignment="1">
      <alignment horizontal="center"/>
    </xf>
    <xf numFmtId="0" fontId="2" fillId="0" borderId="9" xfId="0" applyFont="1" applyBorder="1" applyAlignment="1">
      <alignment horizontal="center"/>
    </xf>
    <xf numFmtId="0" fontId="0" fillId="0" borderId="0" xfId="0" applyAlignment="1">
      <alignment horizontal="center"/>
    </xf>
    <xf numFmtId="0" fontId="2" fillId="0" borderId="9" xfId="0" applyFont="1" applyBorder="1" applyAlignment="1">
      <alignment horizontal="center" vertical="top"/>
    </xf>
    <xf numFmtId="49" fontId="0" fillId="0" borderId="9" xfId="0" applyNumberFormat="1" applyBorder="1" applyAlignment="1">
      <alignment horizontal="center"/>
    </xf>
    <xf numFmtId="0" fontId="1" fillId="0" borderId="10" xfId="0" applyFont="1" applyBorder="1"/>
    <xf numFmtId="0" fontId="2" fillId="0" borderId="9" xfId="0" applyFont="1" applyFill="1" applyBorder="1" applyAlignment="1">
      <alignment horizontal="center"/>
    </xf>
    <xf numFmtId="0" fontId="0" fillId="0" borderId="9" xfId="0" applyBorder="1" applyAlignment="1">
      <alignment horizontal="center" vertical="center"/>
    </xf>
    <xf numFmtId="0" fontId="0" fillId="0" borderId="9" xfId="0" applyFill="1" applyBorder="1" applyAlignment="1">
      <alignment horizontal="center"/>
    </xf>
    <xf numFmtId="164" fontId="0" fillId="2" borderId="1" xfId="0" applyNumberFormat="1" applyFill="1" applyBorder="1" applyAlignment="1">
      <alignment horizontal="center"/>
    </xf>
    <xf numFmtId="164" fontId="4" fillId="0" borderId="0" xfId="0" applyNumberFormat="1" applyFont="1" applyAlignment="1">
      <alignment horizontal="center"/>
    </xf>
    <xf numFmtId="0" fontId="5" fillId="0" borderId="0" xfId="0" applyFont="1" applyAlignment="1">
      <alignment horizontal="right"/>
    </xf>
    <xf numFmtId="164" fontId="5" fillId="0" borderId="0" xfId="0" applyNumberFormat="1" applyFont="1" applyAlignment="1">
      <alignment horizontal="center"/>
    </xf>
    <xf numFmtId="0" fontId="0" fillId="3" borderId="10" xfId="0" applyFont="1" applyFill="1" applyBorder="1"/>
    <xf numFmtId="0" fontId="0" fillId="0" borderId="0" xfId="0" applyBorder="1" applyAlignment="1">
      <alignment horizontal="center"/>
    </xf>
    <xf numFmtId="49" fontId="0" fillId="0" borderId="0" xfId="0" applyNumberFormat="1" applyBorder="1" applyAlignment="1">
      <alignment horizontal="center"/>
    </xf>
    <xf numFmtId="0" fontId="0" fillId="3" borderId="0" xfId="0" applyFill="1" applyAlignment="1">
      <alignment horizontal="right"/>
    </xf>
    <xf numFmtId="0" fontId="1" fillId="4" borderId="17" xfId="0" applyFont="1" applyFill="1" applyBorder="1"/>
    <xf numFmtId="0" fontId="6" fillId="0" borderId="11" xfId="0" applyFont="1" applyBorder="1"/>
    <xf numFmtId="0" fontId="6" fillId="0" borderId="0" xfId="0" applyFont="1" applyBorder="1"/>
    <xf numFmtId="164" fontId="1" fillId="0" borderId="17" xfId="0" applyNumberFormat="1" applyFont="1" applyBorder="1"/>
    <xf numFmtId="164" fontId="1" fillId="0" borderId="10" xfId="0" applyNumberFormat="1" applyFont="1" applyBorder="1"/>
    <xf numFmtId="0" fontId="7" fillId="0" borderId="0" xfId="0" applyFont="1"/>
    <xf numFmtId="0" fontId="7" fillId="0" borderId="0" xfId="0" applyFont="1" applyAlignment="1"/>
    <xf numFmtId="0" fontId="7" fillId="0" borderId="0" xfId="0" applyFont="1" applyAlignment="1">
      <alignment horizontal="center"/>
    </xf>
    <xf numFmtId="0" fontId="7" fillId="2" borderId="12" xfId="0" applyFont="1" applyFill="1" applyBorder="1"/>
    <xf numFmtId="49" fontId="7" fillId="0" borderId="0" xfId="0" applyNumberFormat="1" applyFont="1" applyAlignment="1">
      <alignment horizontal="center"/>
    </xf>
    <xf numFmtId="0" fontId="7" fillId="0" borderId="0" xfId="0" applyFont="1" applyBorder="1"/>
    <xf numFmtId="0" fontId="7" fillId="0" borderId="0" xfId="0" applyFont="1" applyFill="1" applyBorder="1"/>
    <xf numFmtId="0" fontId="8" fillId="0" borderId="9" xfId="0" applyFont="1" applyBorder="1"/>
    <xf numFmtId="0" fontId="7" fillId="0" borderId="8" xfId="0" applyFont="1" applyBorder="1"/>
    <xf numFmtId="0" fontId="7" fillId="2" borderId="13" xfId="0" applyFont="1" applyFill="1" applyBorder="1"/>
    <xf numFmtId="0" fontId="7" fillId="3" borderId="9" xfId="0" applyFont="1" applyFill="1" applyBorder="1"/>
    <xf numFmtId="0" fontId="7" fillId="2" borderId="14" xfId="0" applyFont="1" applyFill="1" applyBorder="1"/>
    <xf numFmtId="0" fontId="8" fillId="2" borderId="14" xfId="0" applyFont="1" applyFill="1" applyBorder="1"/>
    <xf numFmtId="0" fontId="7" fillId="2" borderId="16" xfId="0" applyFont="1" applyFill="1" applyBorder="1"/>
    <xf numFmtId="0" fontId="7" fillId="2" borderId="2" xfId="0" applyFont="1" applyFill="1" applyBorder="1" applyAlignment="1">
      <alignment horizontal="left"/>
    </xf>
    <xf numFmtId="0" fontId="7" fillId="2" borderId="3" xfId="0" applyFont="1" applyFill="1" applyBorder="1" applyAlignment="1">
      <alignment horizontal="left"/>
    </xf>
    <xf numFmtId="0" fontId="9" fillId="2" borderId="3" xfId="0" applyFont="1" applyFill="1" applyBorder="1" applyAlignment="1">
      <alignment horizontal="left"/>
    </xf>
    <xf numFmtId="0" fontId="7" fillId="2" borderId="15" xfId="0" applyFont="1" applyFill="1" applyBorder="1" applyAlignment="1">
      <alignment horizontal="left"/>
    </xf>
    <xf numFmtId="0" fontId="7" fillId="2" borderId="7" xfId="0" applyFont="1" applyFill="1" applyBorder="1" applyAlignment="1">
      <alignment horizontal="left"/>
    </xf>
    <xf numFmtId="0" fontId="7" fillId="2" borderId="18" xfId="0" applyFont="1" applyFill="1" applyBorder="1" applyAlignment="1">
      <alignment horizontal="left"/>
    </xf>
    <xf numFmtId="0" fontId="7" fillId="0" borderId="0" xfId="0" applyFont="1" applyAlignment="1">
      <alignment horizontal="right"/>
    </xf>
    <xf numFmtId="0" fontId="7" fillId="0" borderId="4" xfId="0" applyFont="1" applyBorder="1" applyAlignment="1">
      <alignment horizontal="left"/>
    </xf>
    <xf numFmtId="0" fontId="7" fillId="0" borderId="0" xfId="0" applyFont="1" applyBorder="1" applyAlignment="1">
      <alignment horizontal="left"/>
    </xf>
    <xf numFmtId="165" fontId="7" fillId="0" borderId="4" xfId="0" applyNumberFormat="1" applyFont="1" applyBorder="1" applyAlignment="1">
      <alignment horizontal="left"/>
    </xf>
    <xf numFmtId="165" fontId="7" fillId="0" borderId="0" xfId="0" applyNumberFormat="1" applyFont="1" applyBorder="1" applyAlignment="1">
      <alignment horizontal="left"/>
    </xf>
    <xf numFmtId="0" fontId="7" fillId="0" borderId="5" xfId="0" applyFont="1" applyBorder="1"/>
    <xf numFmtId="0" fontId="7" fillId="0" borderId="6" xfId="0" applyFont="1" applyBorder="1"/>
    <xf numFmtId="0" fontId="7" fillId="0" borderId="5" xfId="0" applyFont="1" applyBorder="1" applyAlignment="1">
      <alignment horizontal="left"/>
    </xf>
    <xf numFmtId="0" fontId="8" fillId="0" borderId="5" xfId="0" applyFont="1" applyBorder="1" applyAlignment="1">
      <alignment horizontal="left"/>
    </xf>
    <xf numFmtId="0" fontId="8" fillId="0" borderId="0" xfId="0" applyFont="1" applyBorder="1" applyAlignment="1">
      <alignment horizontal="left"/>
    </xf>
    <xf numFmtId="164" fontId="7" fillId="0" borderId="0" xfId="0" applyNumberFormat="1" applyFont="1" applyBorder="1" applyAlignment="1">
      <alignment horizontal="left"/>
    </xf>
    <xf numFmtId="0" fontId="10" fillId="0" borderId="0" xfId="0" applyFont="1"/>
    <xf numFmtId="164" fontId="11" fillId="0" borderId="0" xfId="0" applyNumberFormat="1" applyFont="1" applyBorder="1" applyAlignment="1">
      <alignment horizontal="left"/>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vertical="top"/>
    </xf>
    <xf numFmtId="0" fontId="7" fillId="0" borderId="0" xfId="0" applyFont="1" applyBorder="1" applyAlignment="1">
      <alignment horizontal="right"/>
    </xf>
    <xf numFmtId="49" fontId="7" fillId="0" borderId="0" xfId="0" applyNumberFormat="1" applyFont="1" applyBorder="1" applyAlignment="1">
      <alignment horizontal="center"/>
    </xf>
    <xf numFmtId="0" fontId="10" fillId="0" borderId="0" xfId="0" applyFont="1" applyAlignment="1">
      <alignment horizontal="right"/>
    </xf>
    <xf numFmtId="0" fontId="0" fillId="3" borderId="0" xfId="0" applyFill="1"/>
    <xf numFmtId="0" fontId="1" fillId="0" borderId="0" xfId="0" applyFont="1"/>
    <xf numFmtId="0" fontId="12" fillId="5" borderId="9" xfId="0" applyFont="1" applyFill="1" applyBorder="1"/>
    <xf numFmtId="164" fontId="13" fillId="5" borderId="5" xfId="0" applyNumberFormat="1" applyFont="1" applyFill="1" applyBorder="1" applyAlignment="1">
      <alignment horizontal="left"/>
    </xf>
    <xf numFmtId="164" fontId="12" fillId="5" borderId="5" xfId="0" applyNumberFormat="1" applyFont="1" applyFill="1" applyBorder="1" applyAlignment="1">
      <alignment horizontal="left"/>
    </xf>
    <xf numFmtId="164" fontId="14" fillId="5" borderId="5" xfId="0" applyNumberFormat="1" applyFont="1" applyFill="1" applyBorder="1" applyAlignment="1">
      <alignment horizontal="left"/>
    </xf>
    <xf numFmtId="0" fontId="2" fillId="5" borderId="0" xfId="0" applyFont="1" applyFill="1"/>
    <xf numFmtId="0" fontId="12" fillId="5" borderId="12" xfId="0" applyFont="1" applyFill="1" applyBorder="1" applyAlignment="1">
      <alignment horizontal="center"/>
    </xf>
    <xf numFmtId="164" fontId="12" fillId="5" borderId="5" xfId="0" applyNumberFormat="1" applyFont="1" applyFill="1" applyBorder="1" applyAlignment="1">
      <alignment horizontal="center"/>
    </xf>
    <xf numFmtId="164" fontId="12" fillId="0" borderId="0" xfId="0" applyNumberFormat="1" applyFont="1" applyFill="1" applyBorder="1" applyAlignment="1">
      <alignment horizontal="center"/>
    </xf>
    <xf numFmtId="0" fontId="8" fillId="0" borderId="19" xfId="0" applyFont="1" applyBorder="1" applyAlignment="1">
      <alignment horizontal="center"/>
    </xf>
    <xf numFmtId="164" fontId="12" fillId="0" borderId="5" xfId="0" applyNumberFormat="1" applyFont="1" applyFill="1" applyBorder="1" applyAlignment="1">
      <alignment horizontal="left"/>
    </xf>
    <xf numFmtId="49" fontId="7" fillId="3" borderId="9" xfId="0" applyNumberFormat="1" applyFont="1" applyFill="1" applyBorder="1" applyAlignment="1">
      <alignment horizontal="center"/>
    </xf>
    <xf numFmtId="0" fontId="7" fillId="2" borderId="9" xfId="0" applyFont="1" applyFill="1" applyBorder="1"/>
    <xf numFmtId="0" fontId="8" fillId="0" borderId="9" xfId="0" applyFont="1" applyBorder="1" applyAlignment="1">
      <alignment horizontal="center"/>
    </xf>
    <xf numFmtId="164" fontId="12" fillId="5" borderId="9" xfId="0" applyNumberFormat="1" applyFont="1" applyFill="1" applyBorder="1"/>
    <xf numFmtId="164" fontId="12" fillId="5" borderId="9" xfId="0" applyNumberFormat="1" applyFont="1" applyFill="1" applyBorder="1" applyAlignment="1">
      <alignment horizontal="center"/>
    </xf>
    <xf numFmtId="0" fontId="9" fillId="0" borderId="0" xfId="0" applyFont="1" applyAlignment="1">
      <alignment horizontal="right"/>
    </xf>
    <xf numFmtId="0" fontId="15" fillId="0" borderId="0" xfId="0" applyFont="1" applyAlignment="1">
      <alignment horizontal="right"/>
    </xf>
    <xf numFmtId="0" fontId="1" fillId="0" borderId="0" xfId="0" applyFont="1" applyBorder="1" applyAlignment="1">
      <alignment horizontal="center"/>
    </xf>
    <xf numFmtId="49" fontId="1" fillId="0" borderId="0" xfId="0" applyNumberFormat="1" applyFont="1" applyBorder="1" applyAlignment="1">
      <alignment horizontal="center"/>
    </xf>
    <xf numFmtId="0" fontId="1" fillId="0" borderId="0" xfId="0" applyFont="1"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0" fontId="8" fillId="0" borderId="19" xfId="0" applyFont="1" applyBorder="1"/>
    <xf numFmtId="0" fontId="8" fillId="0" borderId="20" xfId="0" applyFont="1" applyBorder="1"/>
    <xf numFmtId="1" fontId="8" fillId="0" borderId="9" xfId="0" applyNumberFormat="1" applyFont="1" applyBorder="1"/>
    <xf numFmtId="0" fontId="2"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4"/>
  <sheetViews>
    <sheetView tabSelected="1" workbookViewId="0"/>
  </sheetViews>
  <sheetFormatPr defaultRowHeight="14.4" x14ac:dyDescent="0.3"/>
  <cols>
    <col min="2" max="2" width="11" customWidth="1"/>
    <col min="4" max="4" width="14.6640625" customWidth="1"/>
  </cols>
  <sheetData>
    <row r="1" spans="1:3" ht="18" x14ac:dyDescent="0.35">
      <c r="A1" s="3" t="s">
        <v>80</v>
      </c>
    </row>
    <row r="3" spans="1:3" x14ac:dyDescent="0.3">
      <c r="A3" t="s">
        <v>58</v>
      </c>
    </row>
    <row r="4" spans="1:3" x14ac:dyDescent="0.3">
      <c r="A4" t="s">
        <v>88</v>
      </c>
    </row>
    <row r="5" spans="1:3" x14ac:dyDescent="0.3">
      <c r="B5" s="68" t="s">
        <v>82</v>
      </c>
      <c r="C5" t="s">
        <v>83</v>
      </c>
    </row>
    <row r="6" spans="1:3" x14ac:dyDescent="0.3">
      <c r="B6" s="69" t="s">
        <v>84</v>
      </c>
      <c r="C6" t="s">
        <v>85</v>
      </c>
    </row>
    <row r="7" spans="1:3" x14ac:dyDescent="0.3">
      <c r="B7" s="74" t="s">
        <v>86</v>
      </c>
      <c r="C7" t="s">
        <v>87</v>
      </c>
    </row>
    <row r="9" spans="1:3" x14ac:dyDescent="0.3">
      <c r="A9" s="2" t="s">
        <v>89</v>
      </c>
    </row>
    <row r="10" spans="1:3" x14ac:dyDescent="0.3">
      <c r="A10">
        <v>1</v>
      </c>
      <c r="B10" t="s">
        <v>62</v>
      </c>
    </row>
    <row r="11" spans="1:3" x14ac:dyDescent="0.3">
      <c r="B11" t="s">
        <v>63</v>
      </c>
    </row>
    <row r="12" spans="1:3" x14ac:dyDescent="0.3">
      <c r="A12">
        <v>3</v>
      </c>
      <c r="B12" t="s">
        <v>81</v>
      </c>
    </row>
    <row r="13" spans="1:3" x14ac:dyDescent="0.3">
      <c r="A13">
        <v>2</v>
      </c>
      <c r="B13" t="s">
        <v>59</v>
      </c>
    </row>
    <row r="14" spans="1:3" x14ac:dyDescent="0.3">
      <c r="B14" t="s">
        <v>60</v>
      </c>
    </row>
    <row r="15" spans="1:3" x14ac:dyDescent="0.3">
      <c r="A15">
        <v>3</v>
      </c>
      <c r="B15" t="s">
        <v>65</v>
      </c>
    </row>
    <row r="16" spans="1:3" x14ac:dyDescent="0.3">
      <c r="A16">
        <v>4</v>
      </c>
      <c r="B16" t="s">
        <v>64</v>
      </c>
    </row>
    <row r="17" spans="1:6" x14ac:dyDescent="0.3">
      <c r="B17" t="s">
        <v>91</v>
      </c>
    </row>
    <row r="18" spans="1:6" x14ac:dyDescent="0.3">
      <c r="A18">
        <v>5</v>
      </c>
      <c r="B18" t="s">
        <v>90</v>
      </c>
    </row>
    <row r="19" spans="1:6" x14ac:dyDescent="0.3">
      <c r="A19">
        <v>6</v>
      </c>
      <c r="B19" t="s">
        <v>113</v>
      </c>
    </row>
    <row r="20" spans="1:6" x14ac:dyDescent="0.3">
      <c r="B20" t="s">
        <v>114</v>
      </c>
    </row>
    <row r="22" spans="1:6" x14ac:dyDescent="0.3">
      <c r="A22" s="2" t="s">
        <v>96</v>
      </c>
    </row>
    <row r="23" spans="1:6" x14ac:dyDescent="0.3">
      <c r="B23" t="s">
        <v>97</v>
      </c>
    </row>
    <row r="24" spans="1:6" x14ac:dyDescent="0.3">
      <c r="B24" t="s">
        <v>105</v>
      </c>
    </row>
    <row r="25" spans="1:6" x14ac:dyDescent="0.3">
      <c r="B25" t="s">
        <v>106</v>
      </c>
    </row>
    <row r="26" spans="1:6" x14ac:dyDescent="0.3">
      <c r="B26" t="s">
        <v>108</v>
      </c>
    </row>
    <row r="27" spans="1:6" x14ac:dyDescent="0.3">
      <c r="B27" t="s">
        <v>107</v>
      </c>
    </row>
    <row r="28" spans="1:6" x14ac:dyDescent="0.3">
      <c r="B28" t="s">
        <v>109</v>
      </c>
    </row>
    <row r="29" spans="1:6" x14ac:dyDescent="0.3">
      <c r="B29" t="s">
        <v>110</v>
      </c>
    </row>
    <row r="31" spans="1:6" x14ac:dyDescent="0.3">
      <c r="B31" s="2" t="s">
        <v>102</v>
      </c>
      <c r="C31" s="2" t="s">
        <v>98</v>
      </c>
      <c r="D31" s="2"/>
      <c r="E31" s="2" t="s">
        <v>100</v>
      </c>
      <c r="F31" s="2"/>
    </row>
    <row r="32" spans="1:6" x14ac:dyDescent="0.3">
      <c r="B32">
        <v>8</v>
      </c>
      <c r="C32" t="s">
        <v>99</v>
      </c>
      <c r="E32">
        <v>100</v>
      </c>
    </row>
    <row r="33" spans="1:5" x14ac:dyDescent="0.3">
      <c r="B33">
        <v>26</v>
      </c>
      <c r="C33" t="s">
        <v>101</v>
      </c>
      <c r="E33">
        <v>211</v>
      </c>
    </row>
    <row r="34" spans="1:5" x14ac:dyDescent="0.3">
      <c r="B34">
        <v>37</v>
      </c>
      <c r="C34" t="s">
        <v>103</v>
      </c>
      <c r="E34">
        <v>270</v>
      </c>
    </row>
    <row r="35" spans="1:5" x14ac:dyDescent="0.3">
      <c r="B35">
        <v>76</v>
      </c>
      <c r="C35" t="s">
        <v>104</v>
      </c>
      <c r="E35">
        <v>500</v>
      </c>
    </row>
    <row r="37" spans="1:5" ht="18" x14ac:dyDescent="0.35">
      <c r="A37" s="3" t="s">
        <v>18</v>
      </c>
    </row>
    <row r="39" spans="1:5" x14ac:dyDescent="0.3">
      <c r="A39" t="s">
        <v>66</v>
      </c>
    </row>
    <row r="40" spans="1:5" x14ac:dyDescent="0.3">
      <c r="A40" t="s">
        <v>67</v>
      </c>
    </row>
    <row r="41" spans="1:5" x14ac:dyDescent="0.3">
      <c r="A41" t="s">
        <v>68</v>
      </c>
    </row>
    <row r="43" spans="1:5" x14ac:dyDescent="0.3">
      <c r="A43">
        <v>1</v>
      </c>
      <c r="B43" t="s">
        <v>72</v>
      </c>
    </row>
    <row r="44" spans="1:5" x14ac:dyDescent="0.3">
      <c r="A44">
        <v>2</v>
      </c>
      <c r="B44" t="s">
        <v>69</v>
      </c>
    </row>
    <row r="45" spans="1:5" x14ac:dyDescent="0.3">
      <c r="B45" t="s">
        <v>70</v>
      </c>
    </row>
    <row r="46" spans="1:5" x14ac:dyDescent="0.3">
      <c r="B46" t="s">
        <v>71</v>
      </c>
    </row>
    <row r="47" spans="1:5" x14ac:dyDescent="0.3">
      <c r="A47">
        <v>3</v>
      </c>
      <c r="B47" t="s">
        <v>73</v>
      </c>
    </row>
    <row r="49" spans="1:1" ht="18" x14ac:dyDescent="0.35">
      <c r="A49" s="3" t="s">
        <v>22</v>
      </c>
    </row>
    <row r="50" spans="1:1" ht="18" x14ac:dyDescent="0.35">
      <c r="A50" s="3"/>
    </row>
    <row r="51" spans="1:1" x14ac:dyDescent="0.3">
      <c r="A51" t="s">
        <v>94</v>
      </c>
    </row>
    <row r="52" spans="1:1" x14ac:dyDescent="0.3">
      <c r="A52" t="s">
        <v>74</v>
      </c>
    </row>
    <row r="53" spans="1:1" x14ac:dyDescent="0.3">
      <c r="A53" t="s">
        <v>93</v>
      </c>
    </row>
    <row r="54" spans="1:1" x14ac:dyDescent="0.3">
      <c r="A54" t="s">
        <v>95</v>
      </c>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6"/>
  <sheetViews>
    <sheetView topLeftCell="B1" zoomScaleNormal="100" workbookViewId="0">
      <selection activeCell="B3" sqref="B3"/>
    </sheetView>
  </sheetViews>
  <sheetFormatPr defaultRowHeight="14.4" x14ac:dyDescent="0.3"/>
  <cols>
    <col min="1" max="1" width="9.109375" hidden="1" customWidth="1"/>
    <col min="2" max="2" width="7.33203125" customWidth="1"/>
    <col min="4" max="4" width="6.44140625" customWidth="1"/>
    <col min="5" max="5" width="9.88671875" customWidth="1"/>
    <col min="6" max="6" width="10.33203125" customWidth="1"/>
    <col min="7" max="7" width="9.88671875" customWidth="1"/>
    <col min="8" max="8" width="10.109375" customWidth="1"/>
    <col min="9" max="9" width="9.88671875" customWidth="1"/>
    <col min="10" max="10" width="10.109375" customWidth="1"/>
    <col min="11" max="11" width="10.33203125" customWidth="1"/>
    <col min="12" max="12" width="10" customWidth="1"/>
    <col min="13" max="13" width="6.44140625" customWidth="1"/>
    <col min="14" max="14" width="7.5546875" customWidth="1"/>
    <col min="15" max="15" width="5.44140625" customWidth="1"/>
    <col min="16" max="18" width="10.33203125" customWidth="1"/>
    <col min="20" max="20" width="9.5546875" customWidth="1"/>
    <col min="21" max="21" width="10.44140625" customWidth="1"/>
    <col min="22" max="22" width="10" customWidth="1"/>
    <col min="23" max="23" width="10.109375" customWidth="1"/>
    <col min="24" max="24" width="8.33203125" customWidth="1"/>
    <col min="25" max="25" width="5.44140625" customWidth="1"/>
    <col min="26" max="26" width="5" customWidth="1"/>
    <col min="27" max="27" width="10.33203125" customWidth="1"/>
    <col min="28" max="28" width="10.109375" customWidth="1"/>
    <col min="29" max="29" width="9.88671875" customWidth="1"/>
    <col min="30" max="30" width="10.5546875" customWidth="1"/>
    <col min="31" max="31" width="10.109375" customWidth="1"/>
    <col min="32" max="32" width="9.6640625" customWidth="1"/>
    <col min="33" max="34" width="9.88671875" customWidth="1"/>
    <col min="35" max="35" width="6.109375" customWidth="1"/>
    <col min="36" max="36" width="10" customWidth="1"/>
    <col min="37" max="37" width="7" customWidth="1"/>
  </cols>
  <sheetData>
    <row r="1" spans="1:37" ht="18" x14ac:dyDescent="0.35">
      <c r="B1" s="3" t="s">
        <v>129</v>
      </c>
    </row>
    <row r="2" spans="1:37" ht="12.75" customHeight="1" x14ac:dyDescent="0.3">
      <c r="B2" s="29"/>
      <c r="C2" s="30"/>
      <c r="D2" s="31" t="s">
        <v>57</v>
      </c>
      <c r="E2" s="31" t="s">
        <v>55</v>
      </c>
      <c r="F2" s="31" t="s">
        <v>29</v>
      </c>
      <c r="G2" s="31" t="s">
        <v>56</v>
      </c>
      <c r="H2" s="29" t="s">
        <v>3</v>
      </c>
      <c r="I2" s="29"/>
      <c r="J2" s="29"/>
      <c r="K2" s="29"/>
      <c r="M2" s="29"/>
      <c r="N2" s="29"/>
      <c r="O2" s="29"/>
      <c r="P2" s="29"/>
      <c r="Q2" s="29"/>
      <c r="R2" s="29"/>
      <c r="S2" s="29"/>
      <c r="T2" s="29"/>
      <c r="U2" s="29"/>
      <c r="V2" s="29"/>
      <c r="W2" s="29"/>
      <c r="X2" s="29"/>
      <c r="Y2" s="29"/>
      <c r="Z2" s="29"/>
      <c r="AA2" s="29"/>
      <c r="AB2" s="29"/>
      <c r="AC2" s="29"/>
      <c r="AD2" s="29"/>
      <c r="AE2" s="29"/>
      <c r="AF2" s="29"/>
      <c r="AG2" s="29"/>
      <c r="AH2" s="29"/>
      <c r="AI2" s="29"/>
      <c r="AJ2" s="29"/>
      <c r="AK2" s="29"/>
    </row>
    <row r="3" spans="1:37" ht="15.75" customHeight="1" x14ac:dyDescent="0.3">
      <c r="A3" t="s">
        <v>3</v>
      </c>
      <c r="B3" s="29" t="s">
        <v>3</v>
      </c>
      <c r="C3" s="30"/>
      <c r="D3" s="80">
        <v>26</v>
      </c>
      <c r="E3" s="81" t="str">
        <f>VLOOKUP($D3,Data!$E$2:$H$11,MATCH('RF System Calc'!E2,Data!$E$2:$H$2,0),0)</f>
        <v>2-13</v>
      </c>
      <c r="F3" s="81">
        <f>VLOOKUP($D3,Data!$E$2:$H$11,MATCH('RF System Calc'!F2,Data!$E$2:$H$2,0),0)</f>
        <v>211</v>
      </c>
      <c r="G3" s="81">
        <f>VLOOKUP($D3,Data!$E$2:$H$11,MATCH('RF System Calc'!G2,Data!$E$2:$H$2,0),0)</f>
        <v>2.87</v>
      </c>
      <c r="H3" s="29" t="s">
        <v>3</v>
      </c>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1:37" x14ac:dyDescent="0.3">
      <c r="A4" t="s">
        <v>3</v>
      </c>
      <c r="B4" s="29"/>
      <c r="C4" s="30"/>
      <c r="D4" s="33"/>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row>
    <row r="5" spans="1:37" x14ac:dyDescent="0.3">
      <c r="B5" s="29"/>
      <c r="C5" s="30"/>
      <c r="D5" s="33"/>
      <c r="E5" s="29"/>
      <c r="F5" s="29"/>
      <c r="G5" s="29"/>
      <c r="H5" s="29" t="s">
        <v>3</v>
      </c>
      <c r="I5" s="29"/>
      <c r="J5" s="29"/>
      <c r="K5" s="29"/>
      <c r="L5" s="29"/>
      <c r="M5" s="29"/>
      <c r="N5" s="29"/>
      <c r="O5" s="29"/>
      <c r="P5" s="29"/>
      <c r="Q5" s="29"/>
      <c r="R5" s="29" t="s">
        <v>3</v>
      </c>
      <c r="S5" s="29"/>
      <c r="T5" s="29"/>
      <c r="U5" s="29"/>
      <c r="V5" s="29"/>
      <c r="W5" s="29"/>
      <c r="X5" s="29"/>
      <c r="Y5" s="29"/>
      <c r="Z5" s="29"/>
      <c r="AA5" s="29"/>
      <c r="AB5" s="29"/>
      <c r="AC5" s="29" t="s">
        <v>3</v>
      </c>
      <c r="AD5" s="29"/>
      <c r="AE5" s="29"/>
      <c r="AF5" s="29"/>
      <c r="AG5" s="29"/>
      <c r="AH5" s="29"/>
      <c r="AI5" s="29"/>
      <c r="AJ5" s="29"/>
      <c r="AK5" s="29"/>
    </row>
    <row r="6" spans="1:37" x14ac:dyDescent="0.3">
      <c r="B6" s="29"/>
      <c r="C6" s="29" t="s">
        <v>31</v>
      </c>
      <c r="D6" s="29"/>
      <c r="E6" s="29"/>
      <c r="F6" s="29" t="s">
        <v>54</v>
      </c>
      <c r="G6" s="34" t="s">
        <v>12</v>
      </c>
      <c r="H6" s="35" t="s">
        <v>51</v>
      </c>
      <c r="I6" s="29"/>
      <c r="J6" s="29"/>
      <c r="K6" s="29"/>
      <c r="L6" s="29"/>
      <c r="M6" s="31" t="s">
        <v>4</v>
      </c>
      <c r="N6" s="31" t="s">
        <v>12</v>
      </c>
      <c r="O6" s="31" t="s">
        <v>2</v>
      </c>
      <c r="P6" s="29" t="s">
        <v>53</v>
      </c>
      <c r="Q6" s="29" t="s">
        <v>12</v>
      </c>
      <c r="R6" s="29" t="s">
        <v>51</v>
      </c>
      <c r="S6" s="29"/>
      <c r="T6" s="29"/>
      <c r="U6" s="29"/>
      <c r="V6" s="29"/>
      <c r="W6" s="29"/>
      <c r="X6" s="31" t="s">
        <v>4</v>
      </c>
      <c r="Y6" s="31" t="s">
        <v>12</v>
      </c>
      <c r="Z6" s="31" t="s">
        <v>2</v>
      </c>
      <c r="AA6" s="29" t="s">
        <v>53</v>
      </c>
      <c r="AB6" s="29" t="s">
        <v>12</v>
      </c>
      <c r="AC6" s="29" t="s">
        <v>51</v>
      </c>
      <c r="AD6" s="29"/>
      <c r="AE6" s="29"/>
      <c r="AF6" s="29"/>
      <c r="AG6" s="29"/>
      <c r="AH6" s="29"/>
      <c r="AI6" s="31" t="s">
        <v>3</v>
      </c>
      <c r="AJ6" s="31"/>
      <c r="AK6" s="31" t="s">
        <v>3</v>
      </c>
    </row>
    <row r="7" spans="1:37" x14ac:dyDescent="0.3">
      <c r="A7" t="s">
        <v>52</v>
      </c>
      <c r="B7" s="29"/>
      <c r="C7" s="36">
        <v>45</v>
      </c>
      <c r="D7" s="37" t="s">
        <v>2</v>
      </c>
      <c r="E7" s="38" t="s">
        <v>1</v>
      </c>
      <c r="F7" s="39" t="s">
        <v>125</v>
      </c>
      <c r="G7" s="70">
        <f>VLOOKUP($F7,Data!$A$3:$C$11,MATCH('RF System Calc'!G6,Data!$A$2:$C$2,0),0)</f>
        <v>27</v>
      </c>
      <c r="H7" s="70">
        <f>VLOOKUP($F7,Data!$A$3:$C$11,MATCH('RF System Calc'!H6,Data!$A$2:$C$2,0),0)</f>
        <v>1</v>
      </c>
      <c r="I7" s="40"/>
      <c r="J7" s="40"/>
      <c r="K7" s="41"/>
      <c r="L7" s="42"/>
      <c r="M7" s="82">
        <v>1</v>
      </c>
      <c r="N7" s="83">
        <f>(M7/100)*G3</f>
        <v>2.8700000000000003E-2</v>
      </c>
      <c r="O7" s="83">
        <f>+C7-H7-N7</f>
        <v>43.971299999999999</v>
      </c>
      <c r="P7" s="39" t="s">
        <v>115</v>
      </c>
      <c r="Q7" s="70">
        <f>VLOOKUP(P7,Data!$A$3:$C$11,2,0)</f>
        <v>23</v>
      </c>
      <c r="R7" s="70">
        <f>VLOOKUP($P7,Data!$A$3:$C$11,MATCH('RF System Calc'!R6,Data!$A$2:$C$2,0),0)</f>
        <v>1</v>
      </c>
      <c r="S7" s="32"/>
      <c r="T7" s="40"/>
      <c r="U7" s="40"/>
      <c r="V7" s="40"/>
      <c r="W7" s="42"/>
      <c r="X7" s="82">
        <v>1</v>
      </c>
      <c r="Y7" s="84">
        <f>(X7/100)*G3</f>
        <v>2.8700000000000003E-2</v>
      </c>
      <c r="Z7" s="84">
        <f>+O7-R7-Y7</f>
        <v>42.942599999999999</v>
      </c>
      <c r="AA7" s="39" t="s">
        <v>47</v>
      </c>
      <c r="AB7" s="70">
        <f>VLOOKUP(AA7,Data!$A$3:$C$12,2,0)</f>
        <v>20</v>
      </c>
      <c r="AC7" s="70">
        <f>VLOOKUP($P7,Data!$A$3:$C$11,MATCH('RF System Calc'!AC6,Data!$A$2:$C$2,0),0)</f>
        <v>1</v>
      </c>
      <c r="AD7" s="32"/>
      <c r="AE7" s="40"/>
      <c r="AF7" s="40"/>
      <c r="AG7" s="40"/>
      <c r="AH7" s="40"/>
      <c r="AI7" s="78"/>
      <c r="AJ7" s="77"/>
      <c r="AK7" s="77" t="s">
        <v>3</v>
      </c>
    </row>
    <row r="8" spans="1:37" ht="15" thickBot="1" x14ac:dyDescent="0.35">
      <c r="B8" s="29"/>
      <c r="C8" s="29" t="s">
        <v>76</v>
      </c>
      <c r="D8" s="29"/>
      <c r="E8" s="43">
        <v>1</v>
      </c>
      <c r="F8" s="44">
        <v>2</v>
      </c>
      <c r="G8" s="44">
        <v>3</v>
      </c>
      <c r="H8" s="44">
        <v>4</v>
      </c>
      <c r="I8" s="44">
        <v>5</v>
      </c>
      <c r="J8" s="44">
        <v>6</v>
      </c>
      <c r="K8" s="44">
        <v>7</v>
      </c>
      <c r="L8" s="48">
        <v>8</v>
      </c>
      <c r="M8" s="34"/>
      <c r="N8" s="34"/>
      <c r="O8" s="34"/>
      <c r="P8" s="43">
        <v>1</v>
      </c>
      <c r="Q8" s="45">
        <v>2</v>
      </c>
      <c r="R8" s="46">
        <v>3</v>
      </c>
      <c r="S8" s="47">
        <v>4</v>
      </c>
      <c r="T8" s="47">
        <v>5</v>
      </c>
      <c r="U8" s="47">
        <v>6</v>
      </c>
      <c r="V8" s="47">
        <v>7</v>
      </c>
      <c r="W8" s="48">
        <v>8</v>
      </c>
      <c r="X8" s="29"/>
      <c r="Y8" s="29"/>
      <c r="Z8" s="29"/>
      <c r="AA8" s="43">
        <v>1</v>
      </c>
      <c r="AB8" s="45">
        <v>2</v>
      </c>
      <c r="AC8" s="46">
        <v>3</v>
      </c>
      <c r="AD8" s="47">
        <v>4</v>
      </c>
      <c r="AE8" s="47">
        <v>5</v>
      </c>
      <c r="AF8" s="47">
        <v>6</v>
      </c>
      <c r="AG8" s="47">
        <v>7</v>
      </c>
      <c r="AH8" s="44">
        <v>8</v>
      </c>
      <c r="AI8" s="54"/>
      <c r="AJ8" s="54" t="s">
        <v>92</v>
      </c>
      <c r="AK8" s="29"/>
    </row>
    <row r="9" spans="1:37" x14ac:dyDescent="0.3">
      <c r="B9" s="29"/>
      <c r="C9" s="29"/>
      <c r="D9" s="49" t="s">
        <v>61</v>
      </c>
      <c r="E9" s="50">
        <f t="shared" ref="E9:L9" si="0">+$C$7-$G$7</f>
        <v>18</v>
      </c>
      <c r="F9" s="50">
        <f t="shared" si="0"/>
        <v>18</v>
      </c>
      <c r="G9" s="50">
        <f t="shared" si="0"/>
        <v>18</v>
      </c>
      <c r="H9" s="50">
        <f t="shared" si="0"/>
        <v>18</v>
      </c>
      <c r="I9" s="50">
        <f t="shared" si="0"/>
        <v>18</v>
      </c>
      <c r="J9" s="50">
        <f t="shared" si="0"/>
        <v>18</v>
      </c>
      <c r="K9" s="50">
        <f t="shared" si="0"/>
        <v>18</v>
      </c>
      <c r="L9" s="50">
        <f t="shared" si="0"/>
        <v>18</v>
      </c>
      <c r="M9" s="51"/>
      <c r="N9" s="29"/>
      <c r="O9" s="49" t="s">
        <v>2</v>
      </c>
      <c r="P9" s="52">
        <f t="shared" ref="P9:W9" si="1">+$O$7-$Q$7</f>
        <v>20.971299999999999</v>
      </c>
      <c r="Q9" s="52">
        <f t="shared" si="1"/>
        <v>20.971299999999999</v>
      </c>
      <c r="R9" s="52">
        <f t="shared" si="1"/>
        <v>20.971299999999999</v>
      </c>
      <c r="S9" s="52">
        <f t="shared" si="1"/>
        <v>20.971299999999999</v>
      </c>
      <c r="T9" s="52">
        <f t="shared" si="1"/>
        <v>20.971299999999999</v>
      </c>
      <c r="U9" s="52">
        <f t="shared" si="1"/>
        <v>20.971299999999999</v>
      </c>
      <c r="V9" s="52">
        <f t="shared" si="1"/>
        <v>20.971299999999999</v>
      </c>
      <c r="W9" s="53">
        <f t="shared" si="1"/>
        <v>20.971299999999999</v>
      </c>
      <c r="X9" s="29"/>
      <c r="Y9" s="29"/>
      <c r="Z9" s="29"/>
      <c r="AA9" s="52">
        <f>$Z$7-$AB$7</f>
        <v>22.942599999999999</v>
      </c>
      <c r="AB9" s="52">
        <f t="shared" ref="AB9:AH9" si="2">$Z$7-$AB$7</f>
        <v>22.942599999999999</v>
      </c>
      <c r="AC9" s="52">
        <f t="shared" si="2"/>
        <v>22.942599999999999</v>
      </c>
      <c r="AD9" s="52">
        <f t="shared" si="2"/>
        <v>22.942599999999999</v>
      </c>
      <c r="AE9" s="52">
        <f t="shared" si="2"/>
        <v>22.942599999999999</v>
      </c>
      <c r="AF9" s="52">
        <f t="shared" si="2"/>
        <v>22.942599999999999</v>
      </c>
      <c r="AG9" s="52">
        <f t="shared" si="2"/>
        <v>22.942599999999999</v>
      </c>
      <c r="AH9" s="52">
        <f t="shared" si="2"/>
        <v>22.942599999999999</v>
      </c>
      <c r="AI9" s="29"/>
      <c r="AJ9" s="79">
        <f>Z7-AC7</f>
        <v>41.942599999999999</v>
      </c>
      <c r="AK9" s="29"/>
    </row>
    <row r="10" spans="1:37" ht="15.75" hidden="1" customHeight="1" x14ac:dyDescent="0.3">
      <c r="B10" s="29"/>
      <c r="C10" s="29"/>
      <c r="D10" s="49"/>
      <c r="E10" s="54"/>
      <c r="F10" s="54"/>
      <c r="G10" s="54"/>
      <c r="H10" s="54"/>
      <c r="I10" s="55"/>
      <c r="J10" s="54"/>
      <c r="K10" s="54"/>
      <c r="L10" s="54"/>
      <c r="M10" s="34"/>
      <c r="N10" s="29"/>
      <c r="O10" s="49"/>
      <c r="P10" s="54"/>
      <c r="Q10" s="54"/>
      <c r="R10" s="54"/>
      <c r="S10" s="54"/>
      <c r="T10" s="54"/>
      <c r="U10" s="54"/>
      <c r="V10" s="54"/>
      <c r="W10" s="56"/>
      <c r="X10" s="29"/>
      <c r="Y10" s="29"/>
      <c r="Z10" s="29"/>
      <c r="AA10" s="54"/>
      <c r="AB10" s="54"/>
      <c r="AC10" s="54"/>
      <c r="AD10" s="54"/>
      <c r="AE10" s="54"/>
      <c r="AF10" s="54"/>
      <c r="AG10" s="54"/>
      <c r="AH10" s="56"/>
      <c r="AI10" s="29"/>
      <c r="AJ10" s="54"/>
      <c r="AK10" s="29"/>
    </row>
    <row r="11" spans="1:37" hidden="1" x14ac:dyDescent="0.3">
      <c r="B11" s="29"/>
      <c r="C11" s="29"/>
      <c r="D11" s="49"/>
      <c r="E11" s="54"/>
      <c r="F11" s="54"/>
      <c r="G11" s="54"/>
      <c r="H11" s="54"/>
      <c r="I11" s="55"/>
      <c r="J11" s="54"/>
      <c r="K11" s="54"/>
      <c r="L11" s="54"/>
      <c r="M11" s="34"/>
      <c r="N11" s="29"/>
      <c r="O11" s="49"/>
      <c r="P11" s="54"/>
      <c r="Q11" s="54"/>
      <c r="R11" s="54"/>
      <c r="S11" s="54"/>
      <c r="T11" s="54"/>
      <c r="U11" s="54"/>
      <c r="V11" s="54"/>
      <c r="W11" s="54"/>
      <c r="X11" s="29"/>
      <c r="Y11" s="29"/>
      <c r="Z11" s="29"/>
      <c r="AA11" s="54"/>
      <c r="AB11" s="54"/>
      <c r="AC11" s="54"/>
      <c r="AD11" s="54"/>
      <c r="AE11" s="54"/>
      <c r="AF11" s="54"/>
      <c r="AG11" s="54"/>
      <c r="AH11" s="54"/>
      <c r="AI11" s="29"/>
      <c r="AJ11" s="54"/>
      <c r="AK11" s="29"/>
    </row>
    <row r="12" spans="1:37" hidden="1" x14ac:dyDescent="0.3">
      <c r="B12" s="29"/>
      <c r="C12" s="29"/>
      <c r="D12" s="49"/>
      <c r="E12" s="54"/>
      <c r="F12" s="54"/>
      <c r="G12" s="54"/>
      <c r="H12" s="54"/>
      <c r="I12" s="55"/>
      <c r="J12" s="54"/>
      <c r="K12" s="54"/>
      <c r="L12" s="54"/>
      <c r="M12" s="34"/>
      <c r="N12" s="29"/>
      <c r="O12" s="49"/>
      <c r="P12" s="54"/>
      <c r="Q12" s="54"/>
      <c r="R12" s="54"/>
      <c r="S12" s="54"/>
      <c r="T12" s="54"/>
      <c r="U12" s="54"/>
      <c r="V12" s="54"/>
      <c r="W12" s="54"/>
      <c r="X12" s="29"/>
      <c r="Y12" s="29"/>
      <c r="Z12" s="29"/>
      <c r="AA12" s="54"/>
      <c r="AB12" s="54"/>
      <c r="AC12" s="54"/>
      <c r="AD12" s="54"/>
      <c r="AE12" s="54"/>
      <c r="AF12" s="54"/>
      <c r="AG12" s="54"/>
      <c r="AH12" s="54"/>
      <c r="AI12" s="29"/>
      <c r="AJ12" s="54"/>
      <c r="AK12" s="29"/>
    </row>
    <row r="13" spans="1:37" hidden="1" x14ac:dyDescent="0.3">
      <c r="B13" s="29"/>
      <c r="C13" s="29"/>
      <c r="D13" s="49"/>
      <c r="E13" s="54"/>
      <c r="F13" s="54"/>
      <c r="G13" s="54"/>
      <c r="H13" s="54"/>
      <c r="I13" s="55"/>
      <c r="J13" s="54"/>
      <c r="K13" s="54"/>
      <c r="L13" s="54"/>
      <c r="M13" s="34"/>
      <c r="N13" s="29"/>
      <c r="O13" s="49"/>
      <c r="P13" s="54"/>
      <c r="Q13" s="54"/>
      <c r="R13" s="54"/>
      <c r="S13" s="54"/>
      <c r="T13" s="54"/>
      <c r="U13" s="54"/>
      <c r="V13" s="54"/>
      <c r="W13" s="54"/>
      <c r="X13" s="29"/>
      <c r="Y13" s="29"/>
      <c r="Z13" s="29"/>
      <c r="AA13" s="54"/>
      <c r="AB13" s="54"/>
      <c r="AC13" s="54"/>
      <c r="AD13" s="54"/>
      <c r="AE13" s="54"/>
      <c r="AF13" s="54"/>
      <c r="AG13" s="54"/>
      <c r="AH13" s="54"/>
      <c r="AI13" s="29"/>
      <c r="AJ13" s="54"/>
      <c r="AK13" s="29"/>
    </row>
    <row r="14" spans="1:37" x14ac:dyDescent="0.3">
      <c r="B14" s="29"/>
      <c r="C14" s="29"/>
      <c r="D14" s="49"/>
      <c r="E14" s="54"/>
      <c r="F14" s="54"/>
      <c r="G14" s="54"/>
      <c r="H14" s="54"/>
      <c r="I14" s="55"/>
      <c r="J14" s="54"/>
      <c r="K14" s="54"/>
      <c r="L14" s="54"/>
      <c r="M14" s="34"/>
      <c r="N14" s="29"/>
      <c r="O14" s="29"/>
      <c r="P14" s="54"/>
      <c r="Q14" s="54"/>
      <c r="R14" s="54"/>
      <c r="S14" s="54"/>
      <c r="T14" s="54"/>
      <c r="U14" s="54"/>
      <c r="V14" s="54"/>
      <c r="W14" s="54"/>
      <c r="X14" s="29"/>
      <c r="Y14" s="29"/>
      <c r="Z14" s="29"/>
      <c r="AA14" s="54"/>
      <c r="AB14" s="54"/>
      <c r="AC14" s="54"/>
      <c r="AD14" s="54"/>
      <c r="AE14" s="54"/>
      <c r="AF14" s="54"/>
      <c r="AG14" s="54"/>
      <c r="AH14" s="54"/>
      <c r="AI14" s="29"/>
      <c r="AJ14" s="54"/>
      <c r="AK14" s="29"/>
    </row>
    <row r="15" spans="1:37" x14ac:dyDescent="0.3">
      <c r="B15" s="29"/>
      <c r="C15" s="29"/>
      <c r="D15" s="49" t="s">
        <v>4</v>
      </c>
      <c r="E15" s="57">
        <v>150</v>
      </c>
      <c r="F15" s="57">
        <v>200</v>
      </c>
      <c r="G15" s="57">
        <v>200</v>
      </c>
      <c r="H15" s="57">
        <v>200</v>
      </c>
      <c r="I15" s="57">
        <v>100</v>
      </c>
      <c r="J15" s="57">
        <v>100</v>
      </c>
      <c r="K15" s="57">
        <v>100</v>
      </c>
      <c r="L15" s="57">
        <v>100</v>
      </c>
      <c r="M15" s="58"/>
      <c r="N15" s="29"/>
      <c r="O15" s="49" t="s">
        <v>4</v>
      </c>
      <c r="P15" s="57">
        <v>200</v>
      </c>
      <c r="Q15" s="57">
        <v>200</v>
      </c>
      <c r="R15" s="57">
        <v>200</v>
      </c>
      <c r="S15" s="57">
        <v>200</v>
      </c>
      <c r="T15" s="57">
        <v>200</v>
      </c>
      <c r="U15" s="57">
        <v>200</v>
      </c>
      <c r="V15" s="57">
        <v>200</v>
      </c>
      <c r="W15" s="57">
        <v>200</v>
      </c>
      <c r="X15" s="29"/>
      <c r="Y15" s="29"/>
      <c r="Z15" s="29"/>
      <c r="AA15" s="57">
        <v>500</v>
      </c>
      <c r="AB15" s="57">
        <v>500</v>
      </c>
      <c r="AC15" s="57">
        <v>500</v>
      </c>
      <c r="AD15" s="57">
        <v>500</v>
      </c>
      <c r="AE15" s="57">
        <v>500</v>
      </c>
      <c r="AF15" s="57">
        <v>500</v>
      </c>
      <c r="AG15" s="57">
        <v>500</v>
      </c>
      <c r="AH15" s="57">
        <v>500</v>
      </c>
      <c r="AI15" s="29"/>
      <c r="AJ15" s="57">
        <v>1</v>
      </c>
      <c r="AK15" s="29"/>
    </row>
    <row r="16" spans="1:37" hidden="1" x14ac:dyDescent="0.3">
      <c r="B16" s="29"/>
      <c r="C16" s="29"/>
      <c r="D16" s="49"/>
      <c r="E16" s="54"/>
      <c r="F16" s="54"/>
      <c r="G16" s="54"/>
      <c r="H16" s="54"/>
      <c r="I16" s="55"/>
      <c r="J16" s="54"/>
      <c r="K16" s="54"/>
      <c r="L16" s="54"/>
      <c r="M16" s="34"/>
      <c r="N16" s="29"/>
      <c r="O16" s="29"/>
      <c r="P16" s="54"/>
      <c r="Q16" s="54"/>
      <c r="R16" s="54"/>
      <c r="S16" s="54"/>
      <c r="T16" s="54"/>
      <c r="U16" s="54"/>
      <c r="V16" s="54"/>
      <c r="W16" s="54"/>
      <c r="X16" s="29"/>
      <c r="Y16" s="29"/>
      <c r="Z16" s="29"/>
      <c r="AA16" s="54"/>
      <c r="AB16" s="54"/>
      <c r="AC16" s="54"/>
      <c r="AD16" s="54"/>
      <c r="AE16" s="54"/>
      <c r="AF16" s="54"/>
      <c r="AG16" s="54"/>
      <c r="AH16" s="54"/>
      <c r="AI16" s="29"/>
      <c r="AJ16" s="54"/>
      <c r="AK16" s="29"/>
    </row>
    <row r="17" spans="2:37" hidden="1" x14ac:dyDescent="0.3">
      <c r="B17" s="29"/>
      <c r="C17" s="29"/>
      <c r="D17" s="49"/>
      <c r="E17" s="54"/>
      <c r="F17" s="54"/>
      <c r="G17" s="54"/>
      <c r="H17" s="54"/>
      <c r="I17" s="55"/>
      <c r="J17" s="54"/>
      <c r="K17" s="54"/>
      <c r="L17" s="54"/>
      <c r="M17" s="34"/>
      <c r="N17" s="29"/>
      <c r="O17" s="29"/>
      <c r="P17" s="54"/>
      <c r="Q17" s="54"/>
      <c r="R17" s="54"/>
      <c r="S17" s="54"/>
      <c r="T17" s="54"/>
      <c r="U17" s="54"/>
      <c r="V17" s="54"/>
      <c r="W17" s="54"/>
      <c r="X17" s="29"/>
      <c r="Y17" s="29"/>
      <c r="Z17" s="29"/>
      <c r="AA17" s="54"/>
      <c r="AB17" s="54"/>
      <c r="AC17" s="54"/>
      <c r="AD17" s="54"/>
      <c r="AE17" s="54"/>
      <c r="AF17" s="54"/>
      <c r="AG17" s="54"/>
      <c r="AH17" s="54"/>
      <c r="AI17" s="29"/>
      <c r="AJ17" s="54"/>
      <c r="AK17" s="29"/>
    </row>
    <row r="18" spans="2:37" hidden="1" x14ac:dyDescent="0.3">
      <c r="B18" s="29"/>
      <c r="C18" s="29"/>
      <c r="D18" s="49"/>
      <c r="E18" s="54"/>
      <c r="F18" s="54"/>
      <c r="G18" s="54"/>
      <c r="H18" s="54"/>
      <c r="I18" s="55"/>
      <c r="J18" s="54"/>
      <c r="K18" s="54"/>
      <c r="L18" s="54"/>
      <c r="M18" s="34"/>
      <c r="N18" s="29"/>
      <c r="O18" s="29"/>
      <c r="P18" s="54"/>
      <c r="Q18" s="54"/>
      <c r="R18" s="54"/>
      <c r="S18" s="54"/>
      <c r="T18" s="54"/>
      <c r="U18" s="54"/>
      <c r="V18" s="54"/>
      <c r="W18" s="54"/>
      <c r="X18" s="29"/>
      <c r="Y18" s="29"/>
      <c r="Z18" s="29"/>
      <c r="AA18" s="54"/>
      <c r="AB18" s="54"/>
      <c r="AC18" s="54"/>
      <c r="AD18" s="54"/>
      <c r="AE18" s="54"/>
      <c r="AF18" s="54"/>
      <c r="AG18" s="54"/>
      <c r="AH18" s="54"/>
      <c r="AI18" s="29"/>
      <c r="AJ18" s="54"/>
      <c r="AK18" s="29"/>
    </row>
    <row r="19" spans="2:37" x14ac:dyDescent="0.3">
      <c r="B19" s="29"/>
      <c r="C19" s="29"/>
      <c r="D19" s="49"/>
      <c r="E19" s="54"/>
      <c r="F19" s="54"/>
      <c r="G19" s="54"/>
      <c r="H19" s="54"/>
      <c r="I19" s="55"/>
      <c r="J19" s="54"/>
      <c r="K19" s="54"/>
      <c r="L19" s="54"/>
      <c r="M19" s="34"/>
      <c r="N19" s="29"/>
      <c r="O19" s="29"/>
      <c r="P19" s="54"/>
      <c r="Q19" s="54"/>
      <c r="R19" s="54"/>
      <c r="S19" s="54"/>
      <c r="T19" s="54"/>
      <c r="U19" s="54"/>
      <c r="V19" s="54"/>
      <c r="W19" s="54"/>
      <c r="X19" s="29"/>
      <c r="Y19" s="29"/>
      <c r="Z19" s="29"/>
      <c r="AA19" s="54"/>
      <c r="AB19" s="54"/>
      <c r="AC19" s="54"/>
      <c r="AD19" s="54"/>
      <c r="AE19" s="54"/>
      <c r="AF19" s="54"/>
      <c r="AG19" s="54"/>
      <c r="AH19" s="54"/>
      <c r="AI19" s="29"/>
      <c r="AJ19" s="54"/>
      <c r="AK19" s="29"/>
    </row>
    <row r="20" spans="2:37" x14ac:dyDescent="0.3">
      <c r="B20" s="29"/>
      <c r="C20" s="29"/>
      <c r="D20" s="49" t="s">
        <v>111</v>
      </c>
      <c r="E20" s="71">
        <f>E22-E21</f>
        <v>2.0549999999999997</v>
      </c>
      <c r="F20" s="71">
        <f t="shared" ref="F20:L20" si="3">F22-F21</f>
        <v>2.74</v>
      </c>
      <c r="G20" s="71">
        <f t="shared" si="3"/>
        <v>2.74</v>
      </c>
      <c r="H20" s="71">
        <f t="shared" si="3"/>
        <v>2.74</v>
      </c>
      <c r="I20" s="71">
        <f t="shared" si="3"/>
        <v>1.370000000000001</v>
      </c>
      <c r="J20" s="71">
        <f t="shared" si="3"/>
        <v>1.370000000000001</v>
      </c>
      <c r="K20" s="71">
        <f t="shared" si="3"/>
        <v>1.370000000000001</v>
      </c>
      <c r="L20" s="71">
        <f t="shared" si="3"/>
        <v>1.370000000000001</v>
      </c>
      <c r="M20" s="34"/>
      <c r="N20" s="29"/>
      <c r="O20" s="85" t="s">
        <v>111</v>
      </c>
      <c r="P20" s="71">
        <f t="shared" ref="P20:W20" si="4">P22-P21</f>
        <v>2.74</v>
      </c>
      <c r="Q20" s="71">
        <f t="shared" si="4"/>
        <v>2.74</v>
      </c>
      <c r="R20" s="71">
        <f t="shared" si="4"/>
        <v>2.74</v>
      </c>
      <c r="S20" s="71">
        <f t="shared" si="4"/>
        <v>2.74</v>
      </c>
      <c r="T20" s="71">
        <f t="shared" si="4"/>
        <v>2.74</v>
      </c>
      <c r="U20" s="71">
        <f t="shared" si="4"/>
        <v>2.74</v>
      </c>
      <c r="V20" s="71">
        <f t="shared" si="4"/>
        <v>2.74</v>
      </c>
      <c r="W20" s="71">
        <f t="shared" si="4"/>
        <v>2.74</v>
      </c>
      <c r="X20" s="29"/>
      <c r="Y20" s="29"/>
      <c r="Z20" s="86" t="s">
        <v>111</v>
      </c>
      <c r="AA20" s="71">
        <f t="shared" ref="AA20:AH20" si="5">AA22-AA21</f>
        <v>6.8500000000000014</v>
      </c>
      <c r="AB20" s="71">
        <f t="shared" si="5"/>
        <v>6.8500000000000014</v>
      </c>
      <c r="AC20" s="71">
        <f t="shared" si="5"/>
        <v>6.8500000000000014</v>
      </c>
      <c r="AD20" s="71">
        <f t="shared" si="5"/>
        <v>6.8500000000000014</v>
      </c>
      <c r="AE20" s="71">
        <f t="shared" si="5"/>
        <v>6.8500000000000014</v>
      </c>
      <c r="AF20" s="71">
        <f t="shared" si="5"/>
        <v>6.8500000000000014</v>
      </c>
      <c r="AG20" s="71">
        <f t="shared" si="5"/>
        <v>6.8500000000000014</v>
      </c>
      <c r="AH20" s="71">
        <f t="shared" si="5"/>
        <v>6.8500000000000014</v>
      </c>
      <c r="AI20" s="29"/>
      <c r="AJ20" s="71">
        <f t="shared" ref="AJ20" si="6">AJ22-AJ21</f>
        <v>1.3700000000000045E-2</v>
      </c>
      <c r="AK20" s="29"/>
    </row>
    <row r="21" spans="2:37" x14ac:dyDescent="0.3">
      <c r="C21" s="49" t="s">
        <v>39</v>
      </c>
      <c r="D21" s="49" t="s">
        <v>6</v>
      </c>
      <c r="E21" s="72">
        <f t="shared" ref="E21:L21" si="7">+E9-(+E15/100*+$G$3)</f>
        <v>13.695</v>
      </c>
      <c r="F21" s="72">
        <f t="shared" si="7"/>
        <v>12.26</v>
      </c>
      <c r="G21" s="72">
        <f t="shared" si="7"/>
        <v>12.26</v>
      </c>
      <c r="H21" s="72">
        <f t="shared" si="7"/>
        <v>12.26</v>
      </c>
      <c r="I21" s="72">
        <f t="shared" si="7"/>
        <v>15.129999999999999</v>
      </c>
      <c r="J21" s="72">
        <f t="shared" si="7"/>
        <v>15.129999999999999</v>
      </c>
      <c r="K21" s="72">
        <f t="shared" si="7"/>
        <v>15.129999999999999</v>
      </c>
      <c r="L21" s="72">
        <f t="shared" si="7"/>
        <v>15.129999999999999</v>
      </c>
      <c r="M21" s="59"/>
      <c r="N21" s="49" t="s">
        <v>39</v>
      </c>
      <c r="O21" s="49" t="s">
        <v>6</v>
      </c>
      <c r="P21" s="72">
        <f>+P9-(+P15/100*+$G$3)</f>
        <v>15.231299999999999</v>
      </c>
      <c r="Q21" s="72">
        <f t="shared" ref="Q21:S21" si="8">+Q9-(+Q15/100*+$G$3)</f>
        <v>15.231299999999999</v>
      </c>
      <c r="R21" s="72">
        <f t="shared" si="8"/>
        <v>15.231299999999999</v>
      </c>
      <c r="S21" s="72">
        <f t="shared" si="8"/>
        <v>15.231299999999999</v>
      </c>
      <c r="T21" s="72">
        <f t="shared" ref="T21:V21" si="9">+T9-(+T15/100*+$G$3)</f>
        <v>15.231299999999999</v>
      </c>
      <c r="U21" s="72">
        <f t="shared" si="9"/>
        <v>15.231299999999999</v>
      </c>
      <c r="V21" s="72">
        <f t="shared" si="9"/>
        <v>15.231299999999999</v>
      </c>
      <c r="W21" s="72">
        <f t="shared" ref="W21" si="10">+W9-(+W15/100*+$G$3)</f>
        <v>15.231299999999999</v>
      </c>
      <c r="X21" s="29"/>
      <c r="Y21" s="49" t="s">
        <v>39</v>
      </c>
      <c r="Z21" s="49" t="s">
        <v>6</v>
      </c>
      <c r="AA21" s="72">
        <f>+AA9-(+AA15/100*+$G$3)</f>
        <v>8.5925999999999974</v>
      </c>
      <c r="AB21" s="72">
        <f t="shared" ref="AB21:AH21" si="11">+AB9-(+AB15/100*+$G$3)</f>
        <v>8.5925999999999974</v>
      </c>
      <c r="AC21" s="72">
        <f t="shared" si="11"/>
        <v>8.5925999999999974</v>
      </c>
      <c r="AD21" s="72">
        <f t="shared" si="11"/>
        <v>8.5925999999999974</v>
      </c>
      <c r="AE21" s="72">
        <f t="shared" si="11"/>
        <v>8.5925999999999974</v>
      </c>
      <c r="AF21" s="72">
        <f t="shared" si="11"/>
        <v>8.5925999999999974</v>
      </c>
      <c r="AG21" s="72">
        <f t="shared" si="11"/>
        <v>8.5925999999999974</v>
      </c>
      <c r="AH21" s="72">
        <f t="shared" si="11"/>
        <v>8.5925999999999974</v>
      </c>
      <c r="AI21" s="29"/>
      <c r="AJ21" s="72">
        <f t="shared" ref="AJ21" si="12">+AJ9-(+AJ15/100*+$G$3)</f>
        <v>41.913899999999998</v>
      </c>
      <c r="AK21" s="29"/>
    </row>
    <row r="22" spans="2:37" x14ac:dyDescent="0.3">
      <c r="C22" s="67" t="s">
        <v>40</v>
      </c>
      <c r="D22" s="29"/>
      <c r="E22" s="73">
        <f t="shared" ref="E22:L22" si="13">+E9-(+E15/100*1.5)</f>
        <v>15.75</v>
      </c>
      <c r="F22" s="73">
        <f t="shared" si="13"/>
        <v>15</v>
      </c>
      <c r="G22" s="73">
        <f t="shared" si="13"/>
        <v>15</v>
      </c>
      <c r="H22" s="73">
        <f t="shared" si="13"/>
        <v>15</v>
      </c>
      <c r="I22" s="73">
        <f t="shared" si="13"/>
        <v>16.5</v>
      </c>
      <c r="J22" s="73">
        <f t="shared" si="13"/>
        <v>16.5</v>
      </c>
      <c r="K22" s="73">
        <f t="shared" si="13"/>
        <v>16.5</v>
      </c>
      <c r="L22" s="73">
        <f t="shared" si="13"/>
        <v>16.5</v>
      </c>
      <c r="M22" s="61"/>
      <c r="N22" s="67" t="s">
        <v>40</v>
      </c>
      <c r="O22" s="60"/>
      <c r="P22" s="73">
        <f t="shared" ref="P22:W22" si="14">+P9-(+P15/100*1.5)</f>
        <v>17.971299999999999</v>
      </c>
      <c r="Q22" s="73">
        <f t="shared" si="14"/>
        <v>17.971299999999999</v>
      </c>
      <c r="R22" s="73">
        <f t="shared" si="14"/>
        <v>17.971299999999999</v>
      </c>
      <c r="S22" s="73">
        <f t="shared" si="14"/>
        <v>17.971299999999999</v>
      </c>
      <c r="T22" s="73">
        <f t="shared" si="14"/>
        <v>17.971299999999999</v>
      </c>
      <c r="U22" s="73">
        <f t="shared" si="14"/>
        <v>17.971299999999999</v>
      </c>
      <c r="V22" s="73">
        <f t="shared" si="14"/>
        <v>17.971299999999999</v>
      </c>
      <c r="W22" s="73">
        <f t="shared" si="14"/>
        <v>17.971299999999999</v>
      </c>
      <c r="X22" s="29"/>
      <c r="Y22" s="29"/>
      <c r="Z22" s="67" t="s">
        <v>40</v>
      </c>
      <c r="AA22" s="73">
        <f t="shared" ref="AA22:AH22" si="15">+AA9-(+AA15/100*1.5)</f>
        <v>15.442599999999999</v>
      </c>
      <c r="AB22" s="73">
        <f t="shared" si="15"/>
        <v>15.442599999999999</v>
      </c>
      <c r="AC22" s="73">
        <f t="shared" si="15"/>
        <v>15.442599999999999</v>
      </c>
      <c r="AD22" s="73">
        <f t="shared" si="15"/>
        <v>15.442599999999999</v>
      </c>
      <c r="AE22" s="73">
        <f t="shared" si="15"/>
        <v>15.442599999999999</v>
      </c>
      <c r="AF22" s="73">
        <f t="shared" si="15"/>
        <v>15.442599999999999</v>
      </c>
      <c r="AG22" s="73">
        <f t="shared" si="15"/>
        <v>15.442599999999999</v>
      </c>
      <c r="AH22" s="73">
        <f t="shared" si="15"/>
        <v>15.442599999999999</v>
      </c>
      <c r="AI22" s="29"/>
      <c r="AJ22" s="73">
        <f t="shared" ref="AJ22" si="16">+AJ9-(+AJ15/100*1.5)</f>
        <v>41.927599999999998</v>
      </c>
      <c r="AK22" s="29"/>
    </row>
    <row r="23" spans="2:37" x14ac:dyDescent="0.3">
      <c r="C23" s="31" t="s">
        <v>78</v>
      </c>
      <c r="D23" s="29"/>
      <c r="E23" s="93" t="s">
        <v>116</v>
      </c>
      <c r="F23" s="93"/>
      <c r="G23" s="93"/>
      <c r="H23" s="93"/>
      <c r="I23" s="93"/>
      <c r="J23" s="93"/>
      <c r="K23" s="93"/>
      <c r="L23" s="93"/>
      <c r="M23" s="34"/>
      <c r="N23" s="34"/>
      <c r="O23" s="34"/>
      <c r="P23" s="93" t="s">
        <v>116</v>
      </c>
      <c r="Q23" s="93"/>
      <c r="R23" s="93"/>
      <c r="S23" s="93"/>
      <c r="T23" s="94"/>
      <c r="U23" s="93"/>
      <c r="V23" s="94"/>
      <c r="W23" s="93"/>
      <c r="X23" s="29"/>
      <c r="Y23" s="29"/>
      <c r="Z23" s="29"/>
      <c r="AA23" s="93" t="s">
        <v>116</v>
      </c>
      <c r="AB23" s="93"/>
      <c r="AC23" s="93"/>
      <c r="AD23" s="93"/>
      <c r="AE23" s="93"/>
      <c r="AF23" s="93"/>
      <c r="AG23" s="93"/>
      <c r="AH23" s="93"/>
      <c r="AI23" s="29"/>
      <c r="AJ23" s="93" t="s">
        <v>116</v>
      </c>
      <c r="AK23" s="29"/>
    </row>
    <row r="24" spans="2:37" x14ac:dyDescent="0.3">
      <c r="B24" s="29"/>
      <c r="C24" s="62"/>
      <c r="D24" s="62"/>
      <c r="E24" s="39" t="s">
        <v>112</v>
      </c>
      <c r="F24" s="39" t="s">
        <v>112</v>
      </c>
      <c r="G24" s="39" t="s">
        <v>112</v>
      </c>
      <c r="H24" s="39" t="s">
        <v>112</v>
      </c>
      <c r="I24" s="39" t="s">
        <v>112</v>
      </c>
      <c r="J24" s="39" t="s">
        <v>112</v>
      </c>
      <c r="K24" s="39" t="s">
        <v>112</v>
      </c>
      <c r="L24" s="39" t="s">
        <v>112</v>
      </c>
      <c r="M24" s="62"/>
      <c r="N24" s="34"/>
      <c r="O24" s="34"/>
      <c r="P24" s="39" t="s">
        <v>112</v>
      </c>
      <c r="Q24" s="39" t="s">
        <v>112</v>
      </c>
      <c r="R24" s="39" t="s">
        <v>112</v>
      </c>
      <c r="S24" s="39" t="s">
        <v>112</v>
      </c>
      <c r="T24" s="39" t="s">
        <v>112</v>
      </c>
      <c r="U24" s="39" t="s">
        <v>112</v>
      </c>
      <c r="V24" s="39" t="s">
        <v>112</v>
      </c>
      <c r="W24" s="39" t="s">
        <v>112</v>
      </c>
      <c r="X24" s="29"/>
      <c r="Y24" s="29"/>
      <c r="Z24" s="29"/>
      <c r="AA24" s="39" t="s">
        <v>112</v>
      </c>
      <c r="AB24" s="39" t="s">
        <v>112</v>
      </c>
      <c r="AC24" s="39" t="s">
        <v>112</v>
      </c>
      <c r="AD24" s="39" t="s">
        <v>112</v>
      </c>
      <c r="AE24" s="39" t="s">
        <v>112</v>
      </c>
      <c r="AF24" s="39" t="s">
        <v>112</v>
      </c>
      <c r="AG24" s="39" t="s">
        <v>112</v>
      </c>
      <c r="AH24" s="39" t="s">
        <v>112</v>
      </c>
      <c r="AI24" s="29"/>
      <c r="AJ24" s="39" t="s">
        <v>112</v>
      </c>
      <c r="AK24" s="29"/>
    </row>
    <row r="25" spans="2:37" x14ac:dyDescent="0.3">
      <c r="B25" s="29"/>
      <c r="C25" s="62"/>
      <c r="D25" s="62" t="s">
        <v>12</v>
      </c>
      <c r="E25" s="75">
        <f>VLOOKUP(E$24,Data!$A$3:$B$12,2,FALSE)</f>
        <v>0</v>
      </c>
      <c r="F25" s="75">
        <f>VLOOKUP(F$24,Data!$A$3:$B$12,2,FALSE)</f>
        <v>0</v>
      </c>
      <c r="G25" s="75">
        <f>VLOOKUP(G$24,Data!$A$3:$B$12,2,FALSE)</f>
        <v>0</v>
      </c>
      <c r="H25" s="75">
        <f>VLOOKUP(H$24,Data!$A$3:$B$12,2,FALSE)</f>
        <v>0</v>
      </c>
      <c r="I25" s="75">
        <f>VLOOKUP(I$24,Data!$A$3:$B$12,2,FALSE)</f>
        <v>0</v>
      </c>
      <c r="J25" s="75">
        <f>VLOOKUP(J$24,Data!$A$3:$B$12,2,FALSE)</f>
        <v>0</v>
      </c>
      <c r="K25" s="75">
        <f>VLOOKUP(K$24,Data!$A$3:$B$12,2,FALSE)</f>
        <v>0</v>
      </c>
      <c r="L25" s="75">
        <f>VLOOKUP(L$24,Data!$A$3:$B$12,2,FALSE)</f>
        <v>0</v>
      </c>
      <c r="M25" s="63"/>
      <c r="N25" s="64"/>
      <c r="O25" s="62" t="s">
        <v>12</v>
      </c>
      <c r="P25" s="75">
        <f>VLOOKUP(P$24,Data!$A$3:$B$12,2,FALSE)</f>
        <v>0</v>
      </c>
      <c r="Q25" s="75">
        <f>VLOOKUP(Q$24,Data!$A$3:$B$12,2,FALSE)</f>
        <v>0</v>
      </c>
      <c r="R25" s="75">
        <f>VLOOKUP(R$24,Data!$A$3:$B$12,2,FALSE)</f>
        <v>0</v>
      </c>
      <c r="S25" s="75">
        <f>VLOOKUP(S$24,Data!$A$3:$B$12,2,FALSE)</f>
        <v>0</v>
      </c>
      <c r="T25" s="75">
        <f>VLOOKUP(T$24,Data!$A$3:$B$12,2,FALSE)</f>
        <v>0</v>
      </c>
      <c r="U25" s="75">
        <f>VLOOKUP(U$24,Data!$A$3:$B$12,2,FALSE)</f>
        <v>0</v>
      </c>
      <c r="V25" s="75">
        <f>VLOOKUP(V$24,Data!$A$3:$B$12,2,FALSE)</f>
        <v>0</v>
      </c>
      <c r="W25" s="75">
        <f>VLOOKUP(W$24,Data!$A$3:$B$12,2,FALSE)</f>
        <v>0</v>
      </c>
      <c r="X25" s="29"/>
      <c r="Y25" s="29"/>
      <c r="Z25" s="62" t="s">
        <v>12</v>
      </c>
      <c r="AA25" s="75">
        <f>VLOOKUP(AA$24,Data!$A$3:$B$12,2,FALSE)</f>
        <v>0</v>
      </c>
      <c r="AB25" s="75">
        <f>VLOOKUP(AB$24,Data!$A$3:$B$12,2,FALSE)</f>
        <v>0</v>
      </c>
      <c r="AC25" s="75">
        <f>VLOOKUP(AC$24,Data!$A$3:$B$12,2,FALSE)</f>
        <v>0</v>
      </c>
      <c r="AD25" s="75">
        <f>VLOOKUP(AD$24,Data!$A$3:$B$12,2,FALSE)</f>
        <v>0</v>
      </c>
      <c r="AE25" s="75">
        <f>VLOOKUP(AE$24,Data!$A$3:$B$12,2,FALSE)</f>
        <v>0</v>
      </c>
      <c r="AF25" s="75">
        <f>VLOOKUP(AF$24,Data!$A$3:$B$12,2,FALSE)</f>
        <v>0</v>
      </c>
      <c r="AG25" s="75">
        <f>VLOOKUP(AG$24,Data!$A$3:$B$12,2,FALSE)</f>
        <v>0</v>
      </c>
      <c r="AH25" s="75">
        <f>VLOOKUP(AH$24,Data!$A$3:$B$12,2,FALSE)</f>
        <v>0</v>
      </c>
      <c r="AI25" s="29"/>
      <c r="AJ25" s="75">
        <f>VLOOKUP(AJ$24,Data!$A$3:$B$12,2,FALSE)</f>
        <v>0</v>
      </c>
      <c r="AK25" s="29"/>
    </row>
    <row r="26" spans="2:37" x14ac:dyDescent="0.3">
      <c r="B26" s="29"/>
      <c r="C26" s="29"/>
      <c r="D26" s="65" t="s">
        <v>77</v>
      </c>
      <c r="E26" s="76">
        <f>E21-E25</f>
        <v>13.695</v>
      </c>
      <c r="F26" s="76">
        <f t="shared" ref="F26:L26" si="17">F21-F25</f>
        <v>12.26</v>
      </c>
      <c r="G26" s="76">
        <f t="shared" si="17"/>
        <v>12.26</v>
      </c>
      <c r="H26" s="76">
        <f t="shared" si="17"/>
        <v>12.26</v>
      </c>
      <c r="I26" s="76">
        <f t="shared" si="17"/>
        <v>15.129999999999999</v>
      </c>
      <c r="J26" s="76">
        <f t="shared" si="17"/>
        <v>15.129999999999999</v>
      </c>
      <c r="K26" s="76">
        <f t="shared" si="17"/>
        <v>15.129999999999999</v>
      </c>
      <c r="L26" s="76">
        <f t="shared" si="17"/>
        <v>15.129999999999999</v>
      </c>
      <c r="M26" s="66" t="s">
        <v>3</v>
      </c>
      <c r="N26" s="49"/>
      <c r="O26" s="65" t="s">
        <v>77</v>
      </c>
      <c r="P26" s="76">
        <f>P21-P25</f>
        <v>15.231299999999999</v>
      </c>
      <c r="Q26" s="76">
        <f t="shared" ref="Q26" si="18">Q21-Q25</f>
        <v>15.231299999999999</v>
      </c>
      <c r="R26" s="76">
        <f t="shared" ref="R26" si="19">R21-R25</f>
        <v>15.231299999999999</v>
      </c>
      <c r="S26" s="76">
        <f t="shared" ref="S26" si="20">S21-S25</f>
        <v>15.231299999999999</v>
      </c>
      <c r="T26" s="76">
        <f t="shared" ref="T26" si="21">T21-T25</f>
        <v>15.231299999999999</v>
      </c>
      <c r="U26" s="76">
        <f t="shared" ref="U26" si="22">U21-U25</f>
        <v>15.231299999999999</v>
      </c>
      <c r="V26" s="76">
        <f t="shared" ref="V26" si="23">V21-V25</f>
        <v>15.231299999999999</v>
      </c>
      <c r="W26" s="76">
        <f t="shared" ref="W26" si="24">W21-W25</f>
        <v>15.231299999999999</v>
      </c>
      <c r="X26" s="29"/>
      <c r="Y26" s="49"/>
      <c r="Z26" s="65" t="s">
        <v>77</v>
      </c>
      <c r="AA26" s="76">
        <f t="shared" ref="AA26" si="25">AA21-AA25</f>
        <v>8.5925999999999974</v>
      </c>
      <c r="AB26" s="76">
        <f t="shared" ref="AB26" si="26">AB21-AB25</f>
        <v>8.5925999999999974</v>
      </c>
      <c r="AC26" s="76">
        <f t="shared" ref="AC26" si="27">AC21-AC25</f>
        <v>8.5925999999999974</v>
      </c>
      <c r="AD26" s="76">
        <f t="shared" ref="AD26" si="28">AD21-AD25</f>
        <v>8.5925999999999974</v>
      </c>
      <c r="AE26" s="76">
        <f t="shared" ref="AE26" si="29">AE21-AE25</f>
        <v>8.5925999999999974</v>
      </c>
      <c r="AF26" s="76">
        <f t="shared" ref="AF26" si="30">AF21-AF25</f>
        <v>8.5925999999999974</v>
      </c>
      <c r="AG26" s="76">
        <f t="shared" ref="AG26" si="31">AG21-AG25</f>
        <v>8.5925999999999974</v>
      </c>
      <c r="AH26" s="76">
        <f t="shared" ref="AH26:AJ26" si="32">AH21-AH25</f>
        <v>8.5925999999999974</v>
      </c>
      <c r="AI26" s="29"/>
      <c r="AJ26" s="76">
        <f t="shared" si="32"/>
        <v>41.913899999999998</v>
      </c>
      <c r="AK26" s="29"/>
    </row>
    <row r="27" spans="2:37" x14ac:dyDescent="0.3">
      <c r="C27" s="21"/>
      <c r="D27" s="21"/>
      <c r="E27" s="87"/>
      <c r="F27" s="87"/>
      <c r="G27" s="87"/>
      <c r="H27" s="87"/>
      <c r="I27" s="87"/>
      <c r="J27" s="87"/>
      <c r="K27" s="87"/>
      <c r="L27" s="87"/>
      <c r="M27" s="88"/>
      <c r="N27" s="88"/>
      <c r="O27" s="89"/>
      <c r="P27" s="87"/>
      <c r="Q27" s="87"/>
      <c r="R27" s="87"/>
      <c r="S27" s="87"/>
      <c r="T27" s="87"/>
      <c r="U27" s="87"/>
      <c r="V27" s="87"/>
      <c r="W27" s="87"/>
      <c r="X27" s="69"/>
      <c r="Y27" s="69"/>
      <c r="Z27" s="69"/>
      <c r="AA27" s="87"/>
      <c r="AB27" s="87"/>
      <c r="AC27" s="87"/>
      <c r="AD27" s="87"/>
      <c r="AE27" s="87"/>
      <c r="AF27" s="87"/>
      <c r="AG27" s="87"/>
      <c r="AH27" s="87"/>
      <c r="AI27" s="69"/>
      <c r="AJ27" s="87" t="s">
        <v>122</v>
      </c>
    </row>
    <row r="28" spans="2:37" x14ac:dyDescent="0.3">
      <c r="C28" s="21"/>
      <c r="D28" s="21"/>
      <c r="E28" s="92" t="s">
        <v>117</v>
      </c>
      <c r="F28" s="21"/>
      <c r="G28" s="21"/>
      <c r="H28" s="21"/>
      <c r="I28" s="21"/>
      <c r="J28" s="21"/>
      <c r="K28" s="21"/>
      <c r="L28" s="21"/>
      <c r="M28" s="22"/>
      <c r="N28" s="22"/>
      <c r="O28" s="21"/>
      <c r="Q28" s="21"/>
      <c r="R28" s="21"/>
      <c r="S28" s="21"/>
      <c r="T28" s="21"/>
      <c r="U28" s="21"/>
      <c r="V28" s="21"/>
      <c r="W28" s="21"/>
      <c r="AA28" s="90" t="s">
        <v>127</v>
      </c>
      <c r="AB28" s="21"/>
      <c r="AC28" s="21"/>
      <c r="AD28" s="21"/>
      <c r="AE28" s="21"/>
      <c r="AF28" s="21"/>
      <c r="AG28" s="21"/>
      <c r="AH28" s="21"/>
      <c r="AJ28" s="87" t="s">
        <v>123</v>
      </c>
    </row>
    <row r="29" spans="2:37" x14ac:dyDescent="0.3">
      <c r="C29" s="21"/>
      <c r="D29" s="21"/>
      <c r="E29" s="90" t="s">
        <v>118</v>
      </c>
      <c r="F29" s="21"/>
      <c r="G29" s="21"/>
      <c r="H29" s="21"/>
      <c r="I29" s="21"/>
      <c r="J29" s="21"/>
      <c r="K29" s="1"/>
      <c r="L29" s="21"/>
      <c r="M29" s="22"/>
      <c r="N29" s="22"/>
      <c r="O29" s="21"/>
      <c r="AA29" s="90" t="s">
        <v>128</v>
      </c>
    </row>
    <row r="30" spans="2:37" x14ac:dyDescent="0.3">
      <c r="C30" s="90"/>
      <c r="D30" s="21"/>
      <c r="E30" s="90" t="s">
        <v>119</v>
      </c>
      <c r="F30" s="21"/>
      <c r="G30" s="21"/>
      <c r="H30" s="21"/>
      <c r="I30" s="21"/>
      <c r="J30" s="21"/>
      <c r="K30" s="1"/>
      <c r="L30" s="1"/>
      <c r="M30" s="1"/>
      <c r="N30" s="1"/>
      <c r="O30" s="1"/>
      <c r="P30" s="1"/>
    </row>
    <row r="31" spans="2:37" x14ac:dyDescent="0.3">
      <c r="C31" s="90"/>
      <c r="D31" s="21"/>
      <c r="E31" s="90" t="s">
        <v>120</v>
      </c>
      <c r="F31" s="21"/>
      <c r="G31" s="21"/>
      <c r="H31" s="21"/>
      <c r="I31" s="21"/>
      <c r="J31" s="21"/>
    </row>
    <row r="32" spans="2:37" x14ac:dyDescent="0.3">
      <c r="C32" s="21"/>
      <c r="D32" s="21"/>
      <c r="E32" s="90" t="s">
        <v>121</v>
      </c>
      <c r="F32" s="21"/>
      <c r="G32" s="21"/>
      <c r="H32" s="21"/>
      <c r="I32" s="21"/>
      <c r="J32" s="21"/>
    </row>
    <row r="33" spans="3:10" x14ac:dyDescent="0.3">
      <c r="C33" s="21"/>
      <c r="D33" s="21"/>
      <c r="E33" s="90" t="s">
        <v>126</v>
      </c>
      <c r="F33" s="21"/>
      <c r="G33" s="21"/>
      <c r="H33" s="21"/>
      <c r="I33" s="21"/>
      <c r="J33" s="21"/>
    </row>
    <row r="34" spans="3:10" x14ac:dyDescent="0.3">
      <c r="C34" s="91"/>
      <c r="E34" s="92"/>
    </row>
    <row r="35" spans="3:10" x14ac:dyDescent="0.3">
      <c r="C35" s="91"/>
    </row>
    <row r="36" spans="3:10" x14ac:dyDescent="0.3">
      <c r="C36" s="2"/>
    </row>
  </sheetData>
  <pageMargins left="0.7" right="0.7" top="0.75" bottom="0.75" header="0.3" footer="0.3"/>
  <pageSetup orientation="landscape" r:id="rId1"/>
  <headerFooter>
    <oddHeader>&amp;A</oddHeader>
    <oddFooter>Page &amp;P</oddFooter>
  </headerFooter>
  <colBreaks count="2" manualBreakCount="2">
    <brk id="12" max="1048575" man="1"/>
    <brk id="23"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Data!$A$3:$A$12</xm:f>
          </x14:formula1>
          <xm:sqref>AA24:AH24 P7 E24:L24 F7 AA7 P24:W24 AJ24</xm:sqref>
        </x14:dataValidation>
        <x14:dataValidation type="list" allowBlank="1" showInputMessage="1" showErrorMessage="1" xr:uid="{00000000-0002-0000-0100-000001000000}">
          <x14:formula1>
            <xm:f>Data!$E$3:$E$6</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6"/>
  <sheetViews>
    <sheetView topLeftCell="B1" zoomScaleNormal="100" workbookViewId="0">
      <selection activeCell="AA28" sqref="AA28"/>
    </sheetView>
  </sheetViews>
  <sheetFormatPr defaultRowHeight="14.4" x14ac:dyDescent="0.3"/>
  <cols>
    <col min="1" max="1" width="9.109375" hidden="1" customWidth="1"/>
    <col min="2" max="2" width="7.33203125" customWidth="1"/>
    <col min="4" max="4" width="6.44140625" customWidth="1"/>
    <col min="5" max="5" width="9.88671875" customWidth="1"/>
    <col min="6" max="6" width="10.33203125" customWidth="1"/>
    <col min="7" max="7" width="9.88671875" customWidth="1"/>
    <col min="8" max="8" width="10.109375" customWidth="1"/>
    <col min="9" max="9" width="9.88671875" customWidth="1"/>
    <col min="10" max="10" width="10.109375" customWidth="1"/>
    <col min="11" max="11" width="10.33203125" customWidth="1"/>
    <col min="12" max="12" width="10" customWidth="1"/>
    <col min="13" max="13" width="6.44140625" customWidth="1"/>
    <col min="14" max="14" width="7.5546875" customWidth="1"/>
    <col min="15" max="15" width="5.44140625" customWidth="1"/>
    <col min="16" max="18" width="10.33203125" customWidth="1"/>
    <col min="20" max="20" width="9.5546875" customWidth="1"/>
    <col min="21" max="21" width="10.44140625" customWidth="1"/>
    <col min="22" max="22" width="10" customWidth="1"/>
    <col min="23" max="23" width="10.109375" customWidth="1"/>
    <col min="24" max="24" width="8.33203125" customWidth="1"/>
    <col min="25" max="25" width="5.44140625" customWidth="1"/>
    <col min="26" max="26" width="5" customWidth="1"/>
    <col min="27" max="27" width="10.33203125" customWidth="1"/>
    <col min="28" max="28" width="10.109375" customWidth="1"/>
    <col min="29" max="29" width="9.88671875" customWidth="1"/>
    <col min="30" max="30" width="10.5546875" customWidth="1"/>
    <col min="31" max="31" width="10.109375" customWidth="1"/>
    <col min="32" max="32" width="9.6640625" customWidth="1"/>
    <col min="33" max="34" width="9.88671875" customWidth="1"/>
    <col min="35" max="35" width="6.109375" customWidth="1"/>
    <col min="36" max="36" width="10" customWidth="1"/>
    <col min="37" max="37" width="7" customWidth="1"/>
  </cols>
  <sheetData>
    <row r="1" spans="1:37" ht="18" x14ac:dyDescent="0.35">
      <c r="B1" s="3" t="s">
        <v>79</v>
      </c>
    </row>
    <row r="2" spans="1:37" ht="12.75" customHeight="1" x14ac:dyDescent="0.3">
      <c r="B2" s="29"/>
      <c r="C2" s="30"/>
      <c r="D2" s="31" t="s">
        <v>57</v>
      </c>
      <c r="E2" s="31" t="s">
        <v>55</v>
      </c>
      <c r="F2" s="31" t="s">
        <v>29</v>
      </c>
      <c r="G2" s="31" t="s">
        <v>56</v>
      </c>
      <c r="H2" s="29" t="s">
        <v>3</v>
      </c>
      <c r="I2" s="29"/>
      <c r="J2" s="29"/>
      <c r="K2" s="29"/>
      <c r="M2" s="29"/>
      <c r="N2" s="29"/>
      <c r="O2" s="29"/>
      <c r="P2" s="29"/>
      <c r="Q2" s="29"/>
      <c r="R2" s="29"/>
      <c r="S2" s="29"/>
      <c r="T2" s="29"/>
      <c r="U2" s="29"/>
      <c r="V2" s="29"/>
      <c r="W2" s="29"/>
      <c r="X2" s="29"/>
      <c r="Y2" s="29"/>
      <c r="Z2" s="29"/>
      <c r="AA2" s="29"/>
      <c r="AB2" s="29"/>
      <c r="AC2" s="29"/>
      <c r="AD2" s="29"/>
      <c r="AE2" s="29"/>
      <c r="AF2" s="29"/>
      <c r="AG2" s="29"/>
      <c r="AH2" s="29"/>
      <c r="AI2" s="29"/>
      <c r="AJ2" s="29"/>
      <c r="AK2" s="29"/>
    </row>
    <row r="3" spans="1:37" ht="15.75" customHeight="1" x14ac:dyDescent="0.3">
      <c r="A3" t="s">
        <v>3</v>
      </c>
      <c r="B3" s="29" t="s">
        <v>3</v>
      </c>
      <c r="C3" s="30"/>
      <c r="D3" s="80">
        <v>8</v>
      </c>
      <c r="E3" s="81" t="str">
        <f>VLOOKUP($D3,Data!$E$2:$H$11,MATCH('RF System Calc P2'!E2,Data!$E$2:$H$2,0),0)</f>
        <v>2-97</v>
      </c>
      <c r="F3" s="81">
        <f>VLOOKUP($D3,Data!$E$2:$H$11,MATCH('RF System Calc P2'!F2,Data!$E$2:$H$2,0),0)</f>
        <v>100</v>
      </c>
      <c r="G3" s="81">
        <f>VLOOKUP($D3,Data!$E$2:$H$11,MATCH('RF System Calc P2'!G2,Data!$E$2:$H$2,0),0)</f>
        <v>2</v>
      </c>
      <c r="H3" s="29" t="s">
        <v>3</v>
      </c>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1:37" x14ac:dyDescent="0.3">
      <c r="A4" t="s">
        <v>3</v>
      </c>
      <c r="B4" s="29"/>
      <c r="C4" s="30"/>
      <c r="D4" s="33"/>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row>
    <row r="5" spans="1:37" x14ac:dyDescent="0.3">
      <c r="B5" s="29"/>
      <c r="C5" s="30"/>
      <c r="D5" s="33"/>
      <c r="E5" s="29"/>
      <c r="F5" s="29"/>
      <c r="G5" s="29"/>
      <c r="H5" s="29" t="s">
        <v>3</v>
      </c>
      <c r="I5" s="29"/>
      <c r="J5" s="29"/>
      <c r="K5" s="29"/>
      <c r="L5" s="29"/>
      <c r="M5" s="29"/>
      <c r="N5" s="29"/>
      <c r="O5" s="29"/>
      <c r="P5" s="29"/>
      <c r="Q5" s="29"/>
      <c r="R5" s="29" t="s">
        <v>3</v>
      </c>
      <c r="S5" s="29"/>
      <c r="T5" s="29"/>
      <c r="U5" s="29"/>
      <c r="V5" s="29"/>
      <c r="W5" s="29"/>
      <c r="X5" s="29"/>
      <c r="Y5" s="29"/>
      <c r="Z5" s="29"/>
      <c r="AA5" s="29"/>
      <c r="AB5" s="29"/>
      <c r="AC5" s="29" t="s">
        <v>3</v>
      </c>
      <c r="AD5" s="29"/>
      <c r="AE5" s="29"/>
      <c r="AF5" s="29"/>
      <c r="AG5" s="29"/>
      <c r="AH5" s="29"/>
      <c r="AI5" s="29"/>
      <c r="AJ5" s="29"/>
      <c r="AK5" s="29"/>
    </row>
    <row r="6" spans="1:37" x14ac:dyDescent="0.3">
      <c r="B6" s="29"/>
      <c r="C6" s="29" t="s">
        <v>31</v>
      </c>
      <c r="D6" s="29"/>
      <c r="E6" s="29"/>
      <c r="F6" s="29" t="s">
        <v>54</v>
      </c>
      <c r="G6" s="34" t="s">
        <v>12</v>
      </c>
      <c r="H6" s="35" t="s">
        <v>51</v>
      </c>
      <c r="I6" s="29"/>
      <c r="J6" s="29"/>
      <c r="K6" s="29"/>
      <c r="L6" s="29"/>
      <c r="M6" s="31" t="s">
        <v>4</v>
      </c>
      <c r="N6" s="31" t="s">
        <v>12</v>
      </c>
      <c r="O6" s="31" t="s">
        <v>2</v>
      </c>
      <c r="P6" s="29" t="s">
        <v>53</v>
      </c>
      <c r="Q6" s="29" t="s">
        <v>12</v>
      </c>
      <c r="R6" s="29" t="s">
        <v>51</v>
      </c>
      <c r="S6" s="29"/>
      <c r="T6" s="29"/>
      <c r="U6" s="29"/>
      <c r="V6" s="29"/>
      <c r="W6" s="29"/>
      <c r="X6" s="31" t="s">
        <v>4</v>
      </c>
      <c r="Y6" s="31" t="s">
        <v>12</v>
      </c>
      <c r="Z6" s="31" t="s">
        <v>2</v>
      </c>
      <c r="AA6" s="29" t="s">
        <v>53</v>
      </c>
      <c r="AB6" s="29" t="s">
        <v>12</v>
      </c>
      <c r="AC6" s="29" t="s">
        <v>51</v>
      </c>
      <c r="AD6" s="29"/>
      <c r="AE6" s="29"/>
      <c r="AF6" s="29"/>
      <c r="AG6" s="29"/>
      <c r="AH6" s="29"/>
      <c r="AI6" s="31" t="s">
        <v>3</v>
      </c>
      <c r="AJ6" s="31"/>
      <c r="AK6" s="31" t="s">
        <v>3</v>
      </c>
    </row>
    <row r="7" spans="1:37" x14ac:dyDescent="0.3">
      <c r="A7" t="s">
        <v>52</v>
      </c>
      <c r="B7" s="29"/>
      <c r="C7" s="95">
        <f>'RF System Calc'!AJ26</f>
        <v>41.913899999999998</v>
      </c>
      <c r="D7" s="37" t="s">
        <v>2</v>
      </c>
      <c r="E7" s="38" t="s">
        <v>1</v>
      </c>
      <c r="F7" s="39" t="s">
        <v>47</v>
      </c>
      <c r="G7" s="70">
        <f>VLOOKUP($F7,Data!$A$3:$C$11,MATCH('RF System Calc P2'!G6,Data!$A$2:$C$2,0),0)</f>
        <v>20</v>
      </c>
      <c r="H7" s="70">
        <f>VLOOKUP($F7,Data!$A$3:$C$11,MATCH('RF System Calc P2'!H6,Data!$A$2:$C$2,0),0)</f>
        <v>1</v>
      </c>
      <c r="I7" s="40"/>
      <c r="J7" s="40"/>
      <c r="K7" s="41"/>
      <c r="L7" s="42"/>
      <c r="M7" s="82">
        <v>1</v>
      </c>
      <c r="N7" s="83">
        <f>(M7/100)*G3</f>
        <v>0.02</v>
      </c>
      <c r="O7" s="83">
        <f>+C7-H7-N7</f>
        <v>40.893899999999995</v>
      </c>
      <c r="P7" s="39" t="s">
        <v>124</v>
      </c>
      <c r="Q7" s="70">
        <f>VLOOKUP(P7,Data!$A$3:$C$11,2,0)</f>
        <v>17</v>
      </c>
      <c r="R7" s="70">
        <f>VLOOKUP($P7,Data!$A$3:$C$11,MATCH('RF System Calc P2'!R6,Data!$A$2:$C$2,0),0)</f>
        <v>1</v>
      </c>
      <c r="S7" s="32"/>
      <c r="T7" s="40"/>
      <c r="U7" s="40"/>
      <c r="V7" s="40"/>
      <c r="W7" s="42"/>
      <c r="X7" s="82">
        <v>1</v>
      </c>
      <c r="Y7" s="84">
        <f>(X7/100)*G3</f>
        <v>0.02</v>
      </c>
      <c r="Z7" s="84">
        <f>+O7-R7-Y7</f>
        <v>39.873899999999992</v>
      </c>
      <c r="AA7" s="39" t="s">
        <v>48</v>
      </c>
      <c r="AB7" s="70">
        <f>VLOOKUP(AA7,Data!$A$3:$C$12,2,0)</f>
        <v>14</v>
      </c>
      <c r="AC7" s="70">
        <f>VLOOKUP($P7,Data!$A$3:$C$11,MATCH('RF System Calc P2'!AC6,Data!$A$2:$C$2,0),0)</f>
        <v>1</v>
      </c>
      <c r="AD7" s="32"/>
      <c r="AE7" s="40"/>
      <c r="AF7" s="40"/>
      <c r="AG7" s="40"/>
      <c r="AH7" s="40"/>
      <c r="AI7" s="78"/>
      <c r="AJ7" s="77"/>
      <c r="AK7" s="77" t="s">
        <v>3</v>
      </c>
    </row>
    <row r="8" spans="1:37" ht="15" thickBot="1" x14ac:dyDescent="0.35">
      <c r="B8" s="29"/>
      <c r="C8" s="29" t="s">
        <v>76</v>
      </c>
      <c r="D8" s="29"/>
      <c r="E8" s="43">
        <v>1</v>
      </c>
      <c r="F8" s="44">
        <v>2</v>
      </c>
      <c r="G8" s="44">
        <v>3</v>
      </c>
      <c r="H8" s="44">
        <v>4</v>
      </c>
      <c r="I8" s="44">
        <v>5</v>
      </c>
      <c r="J8" s="44">
        <v>6</v>
      </c>
      <c r="K8" s="44">
        <v>7</v>
      </c>
      <c r="L8" s="48">
        <v>8</v>
      </c>
      <c r="M8" s="34"/>
      <c r="N8" s="34"/>
      <c r="O8" s="34"/>
      <c r="P8" s="43">
        <v>1</v>
      </c>
      <c r="Q8" s="45">
        <v>2</v>
      </c>
      <c r="R8" s="46">
        <v>3</v>
      </c>
      <c r="S8" s="47">
        <v>4</v>
      </c>
      <c r="T8" s="47">
        <v>5</v>
      </c>
      <c r="U8" s="47">
        <v>6</v>
      </c>
      <c r="V8" s="47">
        <v>7</v>
      </c>
      <c r="W8" s="48">
        <v>8</v>
      </c>
      <c r="X8" s="29"/>
      <c r="Y8" s="29"/>
      <c r="Z8" s="29"/>
      <c r="AA8" s="43">
        <v>1</v>
      </c>
      <c r="AB8" s="45">
        <v>2</v>
      </c>
      <c r="AC8" s="46">
        <v>3</v>
      </c>
      <c r="AD8" s="47">
        <v>4</v>
      </c>
      <c r="AE8" s="47">
        <v>5</v>
      </c>
      <c r="AF8" s="47">
        <v>6</v>
      </c>
      <c r="AG8" s="47">
        <v>7</v>
      </c>
      <c r="AH8" s="44">
        <v>8</v>
      </c>
      <c r="AI8" s="54"/>
      <c r="AJ8" s="54" t="s">
        <v>92</v>
      </c>
      <c r="AK8" s="29"/>
    </row>
    <row r="9" spans="1:37" x14ac:dyDescent="0.3">
      <c r="B9" s="29"/>
      <c r="C9" s="29"/>
      <c r="D9" s="49" t="s">
        <v>61</v>
      </c>
      <c r="E9" s="50">
        <f t="shared" ref="E9:L9" si="0">+$C$7-$G$7</f>
        <v>21.913899999999998</v>
      </c>
      <c r="F9" s="50">
        <f t="shared" si="0"/>
        <v>21.913899999999998</v>
      </c>
      <c r="G9" s="50">
        <f t="shared" si="0"/>
        <v>21.913899999999998</v>
      </c>
      <c r="H9" s="50">
        <f t="shared" si="0"/>
        <v>21.913899999999998</v>
      </c>
      <c r="I9" s="50">
        <f t="shared" si="0"/>
        <v>21.913899999999998</v>
      </c>
      <c r="J9" s="50">
        <f t="shared" si="0"/>
        <v>21.913899999999998</v>
      </c>
      <c r="K9" s="50">
        <f t="shared" si="0"/>
        <v>21.913899999999998</v>
      </c>
      <c r="L9" s="50">
        <f t="shared" si="0"/>
        <v>21.913899999999998</v>
      </c>
      <c r="M9" s="51"/>
      <c r="N9" s="29"/>
      <c r="O9" s="49" t="s">
        <v>2</v>
      </c>
      <c r="P9" s="52">
        <f t="shared" ref="P9:W9" si="1">+$O$7-$Q$7</f>
        <v>23.893899999999995</v>
      </c>
      <c r="Q9" s="52">
        <f t="shared" si="1"/>
        <v>23.893899999999995</v>
      </c>
      <c r="R9" s="52">
        <f t="shared" si="1"/>
        <v>23.893899999999995</v>
      </c>
      <c r="S9" s="52">
        <f t="shared" si="1"/>
        <v>23.893899999999995</v>
      </c>
      <c r="T9" s="52">
        <f t="shared" si="1"/>
        <v>23.893899999999995</v>
      </c>
      <c r="U9" s="52">
        <f t="shared" si="1"/>
        <v>23.893899999999995</v>
      </c>
      <c r="V9" s="52">
        <f t="shared" si="1"/>
        <v>23.893899999999995</v>
      </c>
      <c r="W9" s="53">
        <f t="shared" si="1"/>
        <v>23.893899999999995</v>
      </c>
      <c r="X9" s="29"/>
      <c r="Y9" s="29"/>
      <c r="Z9" s="29"/>
      <c r="AA9" s="52">
        <f>$Z$7-$AB$7</f>
        <v>25.873899999999992</v>
      </c>
      <c r="AB9" s="52">
        <f t="shared" ref="AB9:AH9" si="2">$Z$7-$AB$7</f>
        <v>25.873899999999992</v>
      </c>
      <c r="AC9" s="52">
        <f t="shared" si="2"/>
        <v>25.873899999999992</v>
      </c>
      <c r="AD9" s="52">
        <f t="shared" si="2"/>
        <v>25.873899999999992</v>
      </c>
      <c r="AE9" s="52">
        <f t="shared" si="2"/>
        <v>25.873899999999992</v>
      </c>
      <c r="AF9" s="52">
        <f t="shared" si="2"/>
        <v>25.873899999999992</v>
      </c>
      <c r="AG9" s="52">
        <f t="shared" si="2"/>
        <v>25.873899999999992</v>
      </c>
      <c r="AH9" s="52">
        <f t="shared" si="2"/>
        <v>25.873899999999992</v>
      </c>
      <c r="AI9" s="29"/>
      <c r="AJ9" s="79">
        <f>Z7-AC7</f>
        <v>38.873899999999992</v>
      </c>
      <c r="AK9" s="29"/>
    </row>
    <row r="10" spans="1:37" ht="15.75" hidden="1" customHeight="1" x14ac:dyDescent="0.3">
      <c r="B10" s="29"/>
      <c r="C10" s="29"/>
      <c r="D10" s="49"/>
      <c r="E10" s="54"/>
      <c r="F10" s="54"/>
      <c r="G10" s="54"/>
      <c r="H10" s="54"/>
      <c r="I10" s="55"/>
      <c r="J10" s="54"/>
      <c r="K10" s="54"/>
      <c r="L10" s="54"/>
      <c r="M10" s="34"/>
      <c r="N10" s="29"/>
      <c r="O10" s="49"/>
      <c r="P10" s="54"/>
      <c r="Q10" s="54"/>
      <c r="R10" s="54"/>
      <c r="S10" s="54"/>
      <c r="T10" s="54"/>
      <c r="U10" s="54"/>
      <c r="V10" s="54"/>
      <c r="W10" s="56"/>
      <c r="X10" s="29"/>
      <c r="Y10" s="29"/>
      <c r="Z10" s="29"/>
      <c r="AA10" s="54"/>
      <c r="AB10" s="54"/>
      <c r="AC10" s="54"/>
      <c r="AD10" s="54"/>
      <c r="AE10" s="54"/>
      <c r="AF10" s="54"/>
      <c r="AG10" s="54"/>
      <c r="AH10" s="56"/>
      <c r="AI10" s="29"/>
      <c r="AJ10" s="54"/>
      <c r="AK10" s="29"/>
    </row>
    <row r="11" spans="1:37" hidden="1" x14ac:dyDescent="0.3">
      <c r="B11" s="29"/>
      <c r="C11" s="29"/>
      <c r="D11" s="49"/>
      <c r="E11" s="54"/>
      <c r="F11" s="54"/>
      <c r="G11" s="54"/>
      <c r="H11" s="54"/>
      <c r="I11" s="55"/>
      <c r="J11" s="54"/>
      <c r="K11" s="54"/>
      <c r="L11" s="54"/>
      <c r="M11" s="34"/>
      <c r="N11" s="29"/>
      <c r="O11" s="49"/>
      <c r="P11" s="54"/>
      <c r="Q11" s="54"/>
      <c r="R11" s="54"/>
      <c r="S11" s="54"/>
      <c r="T11" s="54"/>
      <c r="U11" s="54"/>
      <c r="V11" s="54"/>
      <c r="W11" s="54"/>
      <c r="X11" s="29"/>
      <c r="Y11" s="29"/>
      <c r="Z11" s="29"/>
      <c r="AA11" s="54"/>
      <c r="AB11" s="54"/>
      <c r="AC11" s="54"/>
      <c r="AD11" s="54"/>
      <c r="AE11" s="54"/>
      <c r="AF11" s="54"/>
      <c r="AG11" s="54"/>
      <c r="AH11" s="54"/>
      <c r="AI11" s="29"/>
      <c r="AJ11" s="54"/>
      <c r="AK11" s="29"/>
    </row>
    <row r="12" spans="1:37" hidden="1" x14ac:dyDescent="0.3">
      <c r="B12" s="29"/>
      <c r="C12" s="29"/>
      <c r="D12" s="49"/>
      <c r="E12" s="54"/>
      <c r="F12" s="54"/>
      <c r="G12" s="54"/>
      <c r="H12" s="54"/>
      <c r="I12" s="55"/>
      <c r="J12" s="54"/>
      <c r="K12" s="54"/>
      <c r="L12" s="54"/>
      <c r="M12" s="34"/>
      <c r="N12" s="29"/>
      <c r="O12" s="49"/>
      <c r="P12" s="54"/>
      <c r="Q12" s="54"/>
      <c r="R12" s="54"/>
      <c r="S12" s="54"/>
      <c r="T12" s="54"/>
      <c r="U12" s="54"/>
      <c r="V12" s="54"/>
      <c r="W12" s="54"/>
      <c r="X12" s="29"/>
      <c r="Y12" s="29"/>
      <c r="Z12" s="29"/>
      <c r="AA12" s="54"/>
      <c r="AB12" s="54"/>
      <c r="AC12" s="54"/>
      <c r="AD12" s="54"/>
      <c r="AE12" s="54"/>
      <c r="AF12" s="54"/>
      <c r="AG12" s="54"/>
      <c r="AH12" s="54"/>
      <c r="AI12" s="29"/>
      <c r="AJ12" s="54"/>
      <c r="AK12" s="29"/>
    </row>
    <row r="13" spans="1:37" hidden="1" x14ac:dyDescent="0.3">
      <c r="B13" s="29"/>
      <c r="C13" s="29"/>
      <c r="D13" s="49"/>
      <c r="E13" s="54"/>
      <c r="F13" s="54"/>
      <c r="G13" s="54"/>
      <c r="H13" s="54"/>
      <c r="I13" s="55"/>
      <c r="J13" s="54"/>
      <c r="K13" s="54"/>
      <c r="L13" s="54"/>
      <c r="M13" s="34"/>
      <c r="N13" s="29"/>
      <c r="O13" s="49"/>
      <c r="P13" s="54"/>
      <c r="Q13" s="54"/>
      <c r="R13" s="54"/>
      <c r="S13" s="54"/>
      <c r="T13" s="54"/>
      <c r="U13" s="54"/>
      <c r="V13" s="54"/>
      <c r="W13" s="54"/>
      <c r="X13" s="29"/>
      <c r="Y13" s="29"/>
      <c r="Z13" s="29"/>
      <c r="AA13" s="54"/>
      <c r="AB13" s="54"/>
      <c r="AC13" s="54"/>
      <c r="AD13" s="54"/>
      <c r="AE13" s="54"/>
      <c r="AF13" s="54"/>
      <c r="AG13" s="54"/>
      <c r="AH13" s="54"/>
      <c r="AI13" s="29"/>
      <c r="AJ13" s="54"/>
      <c r="AK13" s="29"/>
    </row>
    <row r="14" spans="1:37" x14ac:dyDescent="0.3">
      <c r="B14" s="29"/>
      <c r="C14" s="29"/>
      <c r="D14" s="49"/>
      <c r="E14" s="54"/>
      <c r="F14" s="54"/>
      <c r="G14" s="54"/>
      <c r="H14" s="54"/>
      <c r="I14" s="55"/>
      <c r="J14" s="54"/>
      <c r="K14" s="54"/>
      <c r="L14" s="54"/>
      <c r="M14" s="34"/>
      <c r="N14" s="29"/>
      <c r="O14" s="29"/>
      <c r="P14" s="54"/>
      <c r="Q14" s="54"/>
      <c r="R14" s="54"/>
      <c r="S14" s="54"/>
      <c r="T14" s="54"/>
      <c r="U14" s="54"/>
      <c r="V14" s="54"/>
      <c r="W14" s="54"/>
      <c r="X14" s="29"/>
      <c r="Y14" s="29"/>
      <c r="Z14" s="29"/>
      <c r="AA14" s="54"/>
      <c r="AB14" s="54"/>
      <c r="AC14" s="54"/>
      <c r="AD14" s="54"/>
      <c r="AE14" s="54"/>
      <c r="AF14" s="54"/>
      <c r="AG14" s="54"/>
      <c r="AH14" s="54"/>
      <c r="AI14" s="29"/>
      <c r="AJ14" s="54"/>
      <c r="AK14" s="29"/>
    </row>
    <row r="15" spans="1:37" x14ac:dyDescent="0.3">
      <c r="B15" s="29"/>
      <c r="C15" s="29"/>
      <c r="D15" s="49" t="s">
        <v>4</v>
      </c>
      <c r="E15" s="57">
        <v>100</v>
      </c>
      <c r="F15" s="57">
        <v>100</v>
      </c>
      <c r="G15" s="57">
        <v>100</v>
      </c>
      <c r="H15" s="57">
        <v>100</v>
      </c>
      <c r="I15" s="57">
        <v>100</v>
      </c>
      <c r="J15" s="57">
        <v>100</v>
      </c>
      <c r="K15" s="57">
        <v>100</v>
      </c>
      <c r="L15" s="57">
        <v>100</v>
      </c>
      <c r="M15" s="58"/>
      <c r="N15" s="29"/>
      <c r="O15" s="49" t="s">
        <v>4</v>
      </c>
      <c r="P15" s="57">
        <v>200</v>
      </c>
      <c r="Q15" s="57">
        <v>200</v>
      </c>
      <c r="R15" s="57">
        <v>200</v>
      </c>
      <c r="S15" s="57">
        <v>200</v>
      </c>
      <c r="T15" s="57">
        <v>200</v>
      </c>
      <c r="U15" s="57">
        <v>200</v>
      </c>
      <c r="V15" s="57">
        <v>200</v>
      </c>
      <c r="W15" s="57">
        <v>200</v>
      </c>
      <c r="X15" s="29"/>
      <c r="Y15" s="29"/>
      <c r="Z15" s="29"/>
      <c r="AA15" s="57">
        <v>300</v>
      </c>
      <c r="AB15" s="57">
        <v>300</v>
      </c>
      <c r="AC15" s="57">
        <v>300</v>
      </c>
      <c r="AD15" s="57">
        <v>300</v>
      </c>
      <c r="AE15" s="57">
        <v>300</v>
      </c>
      <c r="AF15" s="57">
        <v>300</v>
      </c>
      <c r="AG15" s="57">
        <v>300</v>
      </c>
      <c r="AH15" s="57">
        <v>300</v>
      </c>
      <c r="AI15" s="29"/>
      <c r="AJ15" s="57">
        <v>1000</v>
      </c>
      <c r="AK15" s="29"/>
    </row>
    <row r="16" spans="1:37" hidden="1" x14ac:dyDescent="0.3">
      <c r="B16" s="29"/>
      <c r="C16" s="29"/>
      <c r="D16" s="49"/>
      <c r="E16" s="54"/>
      <c r="F16" s="54"/>
      <c r="G16" s="54"/>
      <c r="H16" s="54"/>
      <c r="I16" s="55"/>
      <c r="J16" s="54"/>
      <c r="K16" s="54"/>
      <c r="L16" s="54"/>
      <c r="M16" s="34"/>
      <c r="N16" s="29"/>
      <c r="O16" s="29"/>
      <c r="P16" s="54"/>
      <c r="Q16" s="54"/>
      <c r="R16" s="54"/>
      <c r="S16" s="54"/>
      <c r="T16" s="54"/>
      <c r="U16" s="54"/>
      <c r="V16" s="54"/>
      <c r="W16" s="54"/>
      <c r="X16" s="29"/>
      <c r="Y16" s="29"/>
      <c r="Z16" s="29"/>
      <c r="AA16" s="54"/>
      <c r="AB16" s="54"/>
      <c r="AC16" s="54"/>
      <c r="AD16" s="54"/>
      <c r="AE16" s="54"/>
      <c r="AF16" s="54"/>
      <c r="AG16" s="54"/>
      <c r="AH16" s="54"/>
      <c r="AI16" s="29"/>
      <c r="AJ16" s="54"/>
      <c r="AK16" s="29"/>
    </row>
    <row r="17" spans="2:37" hidden="1" x14ac:dyDescent="0.3">
      <c r="B17" s="29"/>
      <c r="C17" s="29"/>
      <c r="D17" s="49"/>
      <c r="E17" s="54"/>
      <c r="F17" s="54"/>
      <c r="G17" s="54"/>
      <c r="H17" s="54"/>
      <c r="I17" s="55"/>
      <c r="J17" s="54"/>
      <c r="K17" s="54"/>
      <c r="L17" s="54"/>
      <c r="M17" s="34"/>
      <c r="N17" s="29"/>
      <c r="O17" s="29"/>
      <c r="P17" s="54"/>
      <c r="Q17" s="54"/>
      <c r="R17" s="54"/>
      <c r="S17" s="54"/>
      <c r="T17" s="54"/>
      <c r="U17" s="54"/>
      <c r="V17" s="54"/>
      <c r="W17" s="54"/>
      <c r="X17" s="29"/>
      <c r="Y17" s="29"/>
      <c r="Z17" s="29"/>
      <c r="AA17" s="54"/>
      <c r="AB17" s="54"/>
      <c r="AC17" s="54"/>
      <c r="AD17" s="54"/>
      <c r="AE17" s="54"/>
      <c r="AF17" s="54"/>
      <c r="AG17" s="54"/>
      <c r="AH17" s="54"/>
      <c r="AI17" s="29"/>
      <c r="AJ17" s="54"/>
      <c r="AK17" s="29"/>
    </row>
    <row r="18" spans="2:37" hidden="1" x14ac:dyDescent="0.3">
      <c r="B18" s="29"/>
      <c r="C18" s="29"/>
      <c r="D18" s="49"/>
      <c r="E18" s="54"/>
      <c r="F18" s="54"/>
      <c r="G18" s="54"/>
      <c r="H18" s="54"/>
      <c r="I18" s="55"/>
      <c r="J18" s="54"/>
      <c r="K18" s="54"/>
      <c r="L18" s="54"/>
      <c r="M18" s="34"/>
      <c r="N18" s="29"/>
      <c r="O18" s="29"/>
      <c r="P18" s="54"/>
      <c r="Q18" s="54"/>
      <c r="R18" s="54"/>
      <c r="S18" s="54"/>
      <c r="T18" s="54"/>
      <c r="U18" s="54"/>
      <c r="V18" s="54"/>
      <c r="W18" s="54"/>
      <c r="X18" s="29"/>
      <c r="Y18" s="29"/>
      <c r="Z18" s="29"/>
      <c r="AA18" s="54"/>
      <c r="AB18" s="54"/>
      <c r="AC18" s="54"/>
      <c r="AD18" s="54"/>
      <c r="AE18" s="54"/>
      <c r="AF18" s="54"/>
      <c r="AG18" s="54"/>
      <c r="AH18" s="54"/>
      <c r="AI18" s="29"/>
      <c r="AJ18" s="54"/>
      <c r="AK18" s="29"/>
    </row>
    <row r="19" spans="2:37" x14ac:dyDescent="0.3">
      <c r="B19" s="29"/>
      <c r="C19" s="29"/>
      <c r="D19" s="49"/>
      <c r="E19" s="54"/>
      <c r="F19" s="54"/>
      <c r="G19" s="54"/>
      <c r="H19" s="54"/>
      <c r="I19" s="55"/>
      <c r="J19" s="54"/>
      <c r="K19" s="54"/>
      <c r="L19" s="54"/>
      <c r="M19" s="34"/>
      <c r="N19" s="29"/>
      <c r="O19" s="29"/>
      <c r="P19" s="54"/>
      <c r="Q19" s="54"/>
      <c r="R19" s="54"/>
      <c r="S19" s="54"/>
      <c r="T19" s="54"/>
      <c r="U19" s="54"/>
      <c r="V19" s="54"/>
      <c r="W19" s="54"/>
      <c r="X19" s="29"/>
      <c r="Y19" s="29"/>
      <c r="Z19" s="29"/>
      <c r="AA19" s="54"/>
      <c r="AB19" s="54"/>
      <c r="AC19" s="54"/>
      <c r="AD19" s="54"/>
      <c r="AE19" s="54"/>
      <c r="AF19" s="54"/>
      <c r="AG19" s="54"/>
      <c r="AH19" s="54"/>
      <c r="AI19" s="29"/>
      <c r="AJ19" s="54"/>
      <c r="AK19" s="29"/>
    </row>
    <row r="20" spans="2:37" x14ac:dyDescent="0.3">
      <c r="B20" s="29"/>
      <c r="C20" s="29"/>
      <c r="D20" s="49" t="s">
        <v>111</v>
      </c>
      <c r="E20" s="71">
        <f>E22-E21</f>
        <v>0.5</v>
      </c>
      <c r="F20" s="71">
        <f t="shared" ref="F20:L20" si="3">F22-F21</f>
        <v>0.5</v>
      </c>
      <c r="G20" s="71">
        <f t="shared" si="3"/>
        <v>0.5</v>
      </c>
      <c r="H20" s="71">
        <f t="shared" si="3"/>
        <v>0.5</v>
      </c>
      <c r="I20" s="71">
        <f t="shared" si="3"/>
        <v>0.5</v>
      </c>
      <c r="J20" s="71">
        <f t="shared" si="3"/>
        <v>0.5</v>
      </c>
      <c r="K20" s="71">
        <f t="shared" si="3"/>
        <v>0.5</v>
      </c>
      <c r="L20" s="71">
        <f t="shared" si="3"/>
        <v>0.5</v>
      </c>
      <c r="M20" s="34"/>
      <c r="N20" s="29"/>
      <c r="O20" s="85" t="s">
        <v>111</v>
      </c>
      <c r="P20" s="71">
        <f t="shared" ref="P20:W20" si="4">P22-P21</f>
        <v>1</v>
      </c>
      <c r="Q20" s="71">
        <f t="shared" si="4"/>
        <v>1</v>
      </c>
      <c r="R20" s="71">
        <f t="shared" si="4"/>
        <v>1</v>
      </c>
      <c r="S20" s="71">
        <f t="shared" si="4"/>
        <v>1</v>
      </c>
      <c r="T20" s="71">
        <f t="shared" si="4"/>
        <v>1</v>
      </c>
      <c r="U20" s="71">
        <f t="shared" si="4"/>
        <v>1</v>
      </c>
      <c r="V20" s="71">
        <f t="shared" si="4"/>
        <v>1</v>
      </c>
      <c r="W20" s="71">
        <f t="shared" si="4"/>
        <v>1</v>
      </c>
      <c r="X20" s="29"/>
      <c r="Y20" s="29"/>
      <c r="Z20" s="86" t="s">
        <v>111</v>
      </c>
      <c r="AA20" s="71">
        <f t="shared" ref="AA20:AH20" si="5">AA22-AA21</f>
        <v>1.5</v>
      </c>
      <c r="AB20" s="71">
        <f t="shared" si="5"/>
        <v>1.5</v>
      </c>
      <c r="AC20" s="71">
        <f t="shared" si="5"/>
        <v>1.5</v>
      </c>
      <c r="AD20" s="71">
        <f t="shared" si="5"/>
        <v>1.5</v>
      </c>
      <c r="AE20" s="71">
        <f t="shared" si="5"/>
        <v>1.5</v>
      </c>
      <c r="AF20" s="71">
        <f t="shared" si="5"/>
        <v>1.5</v>
      </c>
      <c r="AG20" s="71">
        <f t="shared" si="5"/>
        <v>1.5</v>
      </c>
      <c r="AH20" s="71">
        <f t="shared" si="5"/>
        <v>1.5</v>
      </c>
      <c r="AI20" s="29"/>
      <c r="AJ20" s="71">
        <f t="shared" ref="AJ20" si="6">AJ22-AJ21</f>
        <v>5</v>
      </c>
      <c r="AK20" s="29"/>
    </row>
    <row r="21" spans="2:37" x14ac:dyDescent="0.3">
      <c r="C21" s="49" t="s">
        <v>39</v>
      </c>
      <c r="D21" s="49" t="s">
        <v>6</v>
      </c>
      <c r="E21" s="72">
        <f t="shared" ref="E21:L21" si="7">+E9-(+E15/100*+$G$3)</f>
        <v>19.913899999999998</v>
      </c>
      <c r="F21" s="72">
        <f t="shared" si="7"/>
        <v>19.913899999999998</v>
      </c>
      <c r="G21" s="72">
        <f t="shared" si="7"/>
        <v>19.913899999999998</v>
      </c>
      <c r="H21" s="72">
        <f t="shared" si="7"/>
        <v>19.913899999999998</v>
      </c>
      <c r="I21" s="72">
        <f t="shared" si="7"/>
        <v>19.913899999999998</v>
      </c>
      <c r="J21" s="72">
        <f t="shared" si="7"/>
        <v>19.913899999999998</v>
      </c>
      <c r="K21" s="72">
        <f t="shared" si="7"/>
        <v>19.913899999999998</v>
      </c>
      <c r="L21" s="72">
        <f t="shared" si="7"/>
        <v>19.913899999999998</v>
      </c>
      <c r="M21" s="59"/>
      <c r="N21" s="49" t="s">
        <v>39</v>
      </c>
      <c r="O21" s="49" t="s">
        <v>6</v>
      </c>
      <c r="P21" s="72">
        <f>+P9-(+P15/100*+$G$3)</f>
        <v>19.893899999999995</v>
      </c>
      <c r="Q21" s="72">
        <f t="shared" ref="Q21:W21" si="8">+Q9-(+Q15/100*+$G$3)</f>
        <v>19.893899999999995</v>
      </c>
      <c r="R21" s="72">
        <f t="shared" si="8"/>
        <v>19.893899999999995</v>
      </c>
      <c r="S21" s="72">
        <f t="shared" si="8"/>
        <v>19.893899999999995</v>
      </c>
      <c r="T21" s="72">
        <f t="shared" si="8"/>
        <v>19.893899999999995</v>
      </c>
      <c r="U21" s="72">
        <f t="shared" si="8"/>
        <v>19.893899999999995</v>
      </c>
      <c r="V21" s="72">
        <f t="shared" si="8"/>
        <v>19.893899999999995</v>
      </c>
      <c r="W21" s="72">
        <f t="shared" si="8"/>
        <v>19.893899999999995</v>
      </c>
      <c r="X21" s="29"/>
      <c r="Y21" s="49" t="s">
        <v>39</v>
      </c>
      <c r="Z21" s="49" t="s">
        <v>6</v>
      </c>
      <c r="AA21" s="72">
        <f>+AA9-(+AA15/100*+$G$3)</f>
        <v>19.873899999999992</v>
      </c>
      <c r="AB21" s="72">
        <f t="shared" ref="AB21:AH21" si="9">+AB9-(+AB15/100*+$G$3)</f>
        <v>19.873899999999992</v>
      </c>
      <c r="AC21" s="72">
        <f t="shared" si="9"/>
        <v>19.873899999999992</v>
      </c>
      <c r="AD21" s="72">
        <f t="shared" si="9"/>
        <v>19.873899999999992</v>
      </c>
      <c r="AE21" s="72">
        <f t="shared" si="9"/>
        <v>19.873899999999992</v>
      </c>
      <c r="AF21" s="72">
        <f t="shared" si="9"/>
        <v>19.873899999999992</v>
      </c>
      <c r="AG21" s="72">
        <f t="shared" si="9"/>
        <v>19.873899999999992</v>
      </c>
      <c r="AH21" s="72">
        <f t="shared" si="9"/>
        <v>19.873899999999992</v>
      </c>
      <c r="AI21" s="29"/>
      <c r="AJ21" s="72">
        <f t="shared" ref="AJ21" si="10">+AJ9-(+AJ15/100*+$G$3)</f>
        <v>18.873899999999992</v>
      </c>
      <c r="AK21" s="29"/>
    </row>
    <row r="22" spans="2:37" x14ac:dyDescent="0.3">
      <c r="C22" s="67" t="s">
        <v>40</v>
      </c>
      <c r="D22" s="29"/>
      <c r="E22" s="73">
        <f t="shared" ref="E22:L22" si="11">+E9-(+E15/100*1.5)</f>
        <v>20.413899999999998</v>
      </c>
      <c r="F22" s="73">
        <f t="shared" si="11"/>
        <v>20.413899999999998</v>
      </c>
      <c r="G22" s="73">
        <f t="shared" si="11"/>
        <v>20.413899999999998</v>
      </c>
      <c r="H22" s="73">
        <f t="shared" si="11"/>
        <v>20.413899999999998</v>
      </c>
      <c r="I22" s="73">
        <f t="shared" si="11"/>
        <v>20.413899999999998</v>
      </c>
      <c r="J22" s="73">
        <f t="shared" si="11"/>
        <v>20.413899999999998</v>
      </c>
      <c r="K22" s="73">
        <f t="shared" si="11"/>
        <v>20.413899999999998</v>
      </c>
      <c r="L22" s="73">
        <f t="shared" si="11"/>
        <v>20.413899999999998</v>
      </c>
      <c r="M22" s="61"/>
      <c r="N22" s="67" t="s">
        <v>40</v>
      </c>
      <c r="O22" s="60"/>
      <c r="P22" s="73">
        <f t="shared" ref="P22:W22" si="12">+P9-(+P15/100*1.5)</f>
        <v>20.893899999999995</v>
      </c>
      <c r="Q22" s="73">
        <f t="shared" si="12"/>
        <v>20.893899999999995</v>
      </c>
      <c r="R22" s="73">
        <f t="shared" si="12"/>
        <v>20.893899999999995</v>
      </c>
      <c r="S22" s="73">
        <f t="shared" si="12"/>
        <v>20.893899999999995</v>
      </c>
      <c r="T22" s="73">
        <f t="shared" si="12"/>
        <v>20.893899999999995</v>
      </c>
      <c r="U22" s="73">
        <f t="shared" si="12"/>
        <v>20.893899999999995</v>
      </c>
      <c r="V22" s="73">
        <f t="shared" si="12"/>
        <v>20.893899999999995</v>
      </c>
      <c r="W22" s="73">
        <f t="shared" si="12"/>
        <v>20.893899999999995</v>
      </c>
      <c r="X22" s="29"/>
      <c r="Y22" s="29"/>
      <c r="Z22" s="67" t="s">
        <v>40</v>
      </c>
      <c r="AA22" s="73">
        <f t="shared" ref="AA22:AH22" si="13">+AA9-(+AA15/100*1.5)</f>
        <v>21.373899999999992</v>
      </c>
      <c r="AB22" s="73">
        <f t="shared" si="13"/>
        <v>21.373899999999992</v>
      </c>
      <c r="AC22" s="73">
        <f t="shared" si="13"/>
        <v>21.373899999999992</v>
      </c>
      <c r="AD22" s="73">
        <f t="shared" si="13"/>
        <v>21.373899999999992</v>
      </c>
      <c r="AE22" s="73">
        <f t="shared" si="13"/>
        <v>21.373899999999992</v>
      </c>
      <c r="AF22" s="73">
        <f t="shared" si="13"/>
        <v>21.373899999999992</v>
      </c>
      <c r="AG22" s="73">
        <f t="shared" si="13"/>
        <v>21.373899999999992</v>
      </c>
      <c r="AH22" s="73">
        <f t="shared" si="13"/>
        <v>21.373899999999992</v>
      </c>
      <c r="AI22" s="29"/>
      <c r="AJ22" s="73">
        <f t="shared" ref="AJ22" si="14">+AJ9-(+AJ15/100*1.5)</f>
        <v>23.873899999999992</v>
      </c>
      <c r="AK22" s="29"/>
    </row>
    <row r="23" spans="2:37" x14ac:dyDescent="0.3">
      <c r="C23" s="31" t="s">
        <v>78</v>
      </c>
      <c r="D23" s="29"/>
      <c r="E23" s="93" t="s">
        <v>116</v>
      </c>
      <c r="F23" s="93"/>
      <c r="G23" s="93"/>
      <c r="H23" s="93"/>
      <c r="I23" s="93"/>
      <c r="J23" s="93"/>
      <c r="K23" s="93"/>
      <c r="L23" s="93"/>
      <c r="M23" s="34"/>
      <c r="N23" s="34"/>
      <c r="O23" s="34"/>
      <c r="P23" s="93" t="s">
        <v>116</v>
      </c>
      <c r="Q23" s="93"/>
      <c r="R23" s="93"/>
      <c r="S23" s="93"/>
      <c r="T23" s="94"/>
      <c r="U23" s="93"/>
      <c r="V23" s="94"/>
      <c r="W23" s="93"/>
      <c r="X23" s="29"/>
      <c r="Y23" s="29"/>
      <c r="Z23" s="29"/>
      <c r="AA23" s="93" t="s">
        <v>116</v>
      </c>
      <c r="AB23" s="93"/>
      <c r="AC23" s="93"/>
      <c r="AD23" s="93"/>
      <c r="AE23" s="93"/>
      <c r="AF23" s="93"/>
      <c r="AG23" s="93"/>
      <c r="AH23" s="93"/>
      <c r="AI23" s="29"/>
      <c r="AJ23" s="93" t="s">
        <v>116</v>
      </c>
      <c r="AK23" s="29"/>
    </row>
    <row r="24" spans="2:37" x14ac:dyDescent="0.3">
      <c r="B24" s="29"/>
      <c r="C24" s="62"/>
      <c r="D24" s="62"/>
      <c r="E24" s="39" t="s">
        <v>112</v>
      </c>
      <c r="F24" s="39" t="s">
        <v>112</v>
      </c>
      <c r="G24" s="39" t="s">
        <v>112</v>
      </c>
      <c r="H24" s="39" t="s">
        <v>112</v>
      </c>
      <c r="I24" s="39" t="s">
        <v>44</v>
      </c>
      <c r="J24" s="39" t="s">
        <v>44</v>
      </c>
      <c r="K24" s="39" t="s">
        <v>112</v>
      </c>
      <c r="L24" s="39" t="s">
        <v>112</v>
      </c>
      <c r="M24" s="62"/>
      <c r="N24" s="34"/>
      <c r="O24" s="34"/>
      <c r="P24" s="39" t="s">
        <v>44</v>
      </c>
      <c r="Q24" s="39" t="s">
        <v>112</v>
      </c>
      <c r="R24" s="39" t="s">
        <v>45</v>
      </c>
      <c r="S24" s="39" t="s">
        <v>44</v>
      </c>
      <c r="T24" s="39" t="s">
        <v>112</v>
      </c>
      <c r="U24" s="39" t="s">
        <v>112</v>
      </c>
      <c r="V24" s="39" t="s">
        <v>112</v>
      </c>
      <c r="W24" s="39" t="s">
        <v>112</v>
      </c>
      <c r="X24" s="29"/>
      <c r="Y24" s="29"/>
      <c r="Z24" s="29"/>
      <c r="AA24" s="39" t="s">
        <v>112</v>
      </c>
      <c r="AB24" s="39" t="s">
        <v>112</v>
      </c>
      <c r="AC24" s="39" t="s">
        <v>112</v>
      </c>
      <c r="AD24" s="39" t="s">
        <v>112</v>
      </c>
      <c r="AE24" s="39" t="s">
        <v>112</v>
      </c>
      <c r="AF24" s="39" t="s">
        <v>112</v>
      </c>
      <c r="AG24" s="39" t="s">
        <v>112</v>
      </c>
      <c r="AH24" s="39" t="s">
        <v>112</v>
      </c>
      <c r="AI24" s="29"/>
      <c r="AJ24" s="39" t="s">
        <v>112</v>
      </c>
      <c r="AK24" s="29"/>
    </row>
    <row r="25" spans="2:37" x14ac:dyDescent="0.3">
      <c r="B25" s="29"/>
      <c r="C25" s="62"/>
      <c r="D25" s="62" t="s">
        <v>12</v>
      </c>
      <c r="E25" s="75">
        <f>VLOOKUP(E$24,Data!$A$3:$B$12,2,FALSE)</f>
        <v>0</v>
      </c>
      <c r="F25" s="75">
        <f>VLOOKUP(F$24,Data!$A$3:$B$12,2,FALSE)</f>
        <v>0</v>
      </c>
      <c r="G25" s="75">
        <f>VLOOKUP(G$24,Data!$A$3:$B$12,2,FALSE)</f>
        <v>0</v>
      </c>
      <c r="H25" s="75">
        <f>VLOOKUP(H$24,Data!$A$3:$B$12,2,FALSE)</f>
        <v>0</v>
      </c>
      <c r="I25" s="75">
        <f>VLOOKUP(I$24,Data!$A$3:$B$12,2,FALSE)</f>
        <v>7</v>
      </c>
      <c r="J25" s="75">
        <f>VLOOKUP(J$24,Data!$A$3:$B$12,2,FALSE)</f>
        <v>7</v>
      </c>
      <c r="K25" s="75">
        <f>VLOOKUP(K$24,Data!$A$3:$B$12,2,FALSE)</f>
        <v>0</v>
      </c>
      <c r="L25" s="75">
        <f>VLOOKUP(L$24,Data!$A$3:$B$12,2,FALSE)</f>
        <v>0</v>
      </c>
      <c r="M25" s="63"/>
      <c r="N25" s="64"/>
      <c r="O25" s="62" t="s">
        <v>12</v>
      </c>
      <c r="P25" s="75">
        <f>VLOOKUP(P$24,Data!$A$3:$B$12,2,FALSE)</f>
        <v>7</v>
      </c>
      <c r="Q25" s="75">
        <f>VLOOKUP(Q$24,Data!$A$3:$B$12,2,FALSE)</f>
        <v>0</v>
      </c>
      <c r="R25" s="75">
        <f>VLOOKUP(R$24,Data!$A$3:$B$12,2,FALSE)</f>
        <v>10.5</v>
      </c>
      <c r="S25" s="75">
        <f>VLOOKUP(S$24,Data!$A$3:$B$12,2,FALSE)</f>
        <v>7</v>
      </c>
      <c r="T25" s="75">
        <f>VLOOKUP(T$24,Data!$A$3:$B$12,2,FALSE)</f>
        <v>0</v>
      </c>
      <c r="U25" s="75">
        <f>VLOOKUP(U$24,Data!$A$3:$B$12,2,FALSE)</f>
        <v>0</v>
      </c>
      <c r="V25" s="75">
        <f>VLOOKUP(V$24,Data!$A$3:$B$12,2,FALSE)</f>
        <v>0</v>
      </c>
      <c r="W25" s="75">
        <f>VLOOKUP(W$24,Data!$A$3:$B$12,2,FALSE)</f>
        <v>0</v>
      </c>
      <c r="X25" s="29"/>
      <c r="Y25" s="29"/>
      <c r="Z25" s="62" t="s">
        <v>12</v>
      </c>
      <c r="AA25" s="75">
        <f>VLOOKUP(AA$24,Data!$A$3:$B$12,2,FALSE)</f>
        <v>0</v>
      </c>
      <c r="AB25" s="75">
        <f>VLOOKUP(AB$24,Data!$A$3:$B$12,2,FALSE)</f>
        <v>0</v>
      </c>
      <c r="AC25" s="75">
        <f>VLOOKUP(AC$24,Data!$A$3:$B$12,2,FALSE)</f>
        <v>0</v>
      </c>
      <c r="AD25" s="75">
        <f>VLOOKUP(AD$24,Data!$A$3:$B$12,2,FALSE)</f>
        <v>0</v>
      </c>
      <c r="AE25" s="75">
        <f>VLOOKUP(AE$24,Data!$A$3:$B$12,2,FALSE)</f>
        <v>0</v>
      </c>
      <c r="AF25" s="75">
        <f>VLOOKUP(AF$24,Data!$A$3:$B$12,2,FALSE)</f>
        <v>0</v>
      </c>
      <c r="AG25" s="75">
        <f>VLOOKUP(AG$24,Data!$A$3:$B$12,2,FALSE)</f>
        <v>0</v>
      </c>
      <c r="AH25" s="75">
        <f>VLOOKUP(AH$24,Data!$A$3:$B$12,2,FALSE)</f>
        <v>0</v>
      </c>
      <c r="AI25" s="29"/>
      <c r="AJ25" s="75">
        <f>VLOOKUP(AJ$24,Data!$A$3:$B$12,2,FALSE)</f>
        <v>0</v>
      </c>
      <c r="AK25" s="29"/>
    </row>
    <row r="26" spans="2:37" x14ac:dyDescent="0.3">
      <c r="B26" s="29"/>
      <c r="C26" s="29"/>
      <c r="D26" s="65" t="s">
        <v>77</v>
      </c>
      <c r="E26" s="76">
        <f>E21-E25</f>
        <v>19.913899999999998</v>
      </c>
      <c r="F26" s="76">
        <f t="shared" ref="F26:L26" si="15">F21-F25</f>
        <v>19.913899999999998</v>
      </c>
      <c r="G26" s="76">
        <f t="shared" si="15"/>
        <v>19.913899999999998</v>
      </c>
      <c r="H26" s="76">
        <f t="shared" si="15"/>
        <v>19.913899999999998</v>
      </c>
      <c r="I26" s="76">
        <f t="shared" si="15"/>
        <v>12.913899999999998</v>
      </c>
      <c r="J26" s="76">
        <f t="shared" si="15"/>
        <v>12.913899999999998</v>
      </c>
      <c r="K26" s="76">
        <f t="shared" si="15"/>
        <v>19.913899999999998</v>
      </c>
      <c r="L26" s="76">
        <f t="shared" si="15"/>
        <v>19.913899999999998</v>
      </c>
      <c r="M26" s="66" t="s">
        <v>3</v>
      </c>
      <c r="N26" s="49"/>
      <c r="O26" s="65" t="s">
        <v>77</v>
      </c>
      <c r="P26" s="76">
        <f>P21-P25</f>
        <v>12.893899999999995</v>
      </c>
      <c r="Q26" s="76">
        <f t="shared" ref="Q26:W26" si="16">Q21-Q25</f>
        <v>19.893899999999995</v>
      </c>
      <c r="R26" s="76">
        <f t="shared" si="16"/>
        <v>9.393899999999995</v>
      </c>
      <c r="S26" s="76">
        <f t="shared" si="16"/>
        <v>12.893899999999995</v>
      </c>
      <c r="T26" s="76">
        <f t="shared" si="16"/>
        <v>19.893899999999995</v>
      </c>
      <c r="U26" s="76">
        <f t="shared" si="16"/>
        <v>19.893899999999995</v>
      </c>
      <c r="V26" s="76">
        <f t="shared" si="16"/>
        <v>19.893899999999995</v>
      </c>
      <c r="W26" s="76">
        <f t="shared" si="16"/>
        <v>19.893899999999995</v>
      </c>
      <c r="X26" s="29"/>
      <c r="Y26" s="49"/>
      <c r="Z26" s="65" t="s">
        <v>77</v>
      </c>
      <c r="AA26" s="76">
        <f t="shared" ref="AA26:AJ26" si="17">AA21-AA25</f>
        <v>19.873899999999992</v>
      </c>
      <c r="AB26" s="76">
        <f t="shared" si="17"/>
        <v>19.873899999999992</v>
      </c>
      <c r="AC26" s="76">
        <f t="shared" si="17"/>
        <v>19.873899999999992</v>
      </c>
      <c r="AD26" s="76">
        <f t="shared" si="17"/>
        <v>19.873899999999992</v>
      </c>
      <c r="AE26" s="76">
        <f t="shared" si="17"/>
        <v>19.873899999999992</v>
      </c>
      <c r="AF26" s="76">
        <f t="shared" si="17"/>
        <v>19.873899999999992</v>
      </c>
      <c r="AG26" s="76">
        <f t="shared" si="17"/>
        <v>19.873899999999992</v>
      </c>
      <c r="AH26" s="76">
        <f t="shared" si="17"/>
        <v>19.873899999999992</v>
      </c>
      <c r="AI26" s="29"/>
      <c r="AJ26" s="76">
        <f t="shared" si="17"/>
        <v>18.873899999999992</v>
      </c>
      <c r="AK26" s="29"/>
    </row>
    <row r="27" spans="2:37" x14ac:dyDescent="0.3">
      <c r="C27" s="21"/>
      <c r="D27" s="21"/>
      <c r="E27" s="87"/>
      <c r="F27" s="87"/>
      <c r="G27" s="87"/>
      <c r="H27" s="87"/>
      <c r="I27" s="87"/>
      <c r="J27" s="87"/>
      <c r="K27" s="87"/>
      <c r="L27" s="87"/>
      <c r="M27" s="88"/>
      <c r="N27" s="88"/>
      <c r="O27" s="89"/>
      <c r="P27" s="87"/>
      <c r="Q27" s="87"/>
      <c r="R27" s="87"/>
      <c r="S27" s="87"/>
      <c r="T27" s="87"/>
      <c r="U27" s="87"/>
      <c r="V27" s="87"/>
      <c r="W27" s="87"/>
      <c r="X27" s="69"/>
      <c r="Y27" s="69"/>
      <c r="Z27" s="69"/>
      <c r="AA27" s="87"/>
      <c r="AB27" s="87"/>
      <c r="AC27" s="87"/>
      <c r="AD27" s="87"/>
      <c r="AE27" s="87"/>
      <c r="AF27" s="87"/>
      <c r="AG27" s="87"/>
      <c r="AH27" s="87"/>
      <c r="AI27" s="69"/>
      <c r="AJ27" s="87" t="s">
        <v>3</v>
      </c>
    </row>
    <row r="28" spans="2:37" x14ac:dyDescent="0.3">
      <c r="C28" s="21"/>
      <c r="D28" s="21"/>
      <c r="E28" s="92" t="s">
        <v>117</v>
      </c>
      <c r="F28" s="21"/>
      <c r="G28" s="21"/>
      <c r="H28" s="21"/>
      <c r="I28" s="21"/>
      <c r="J28" s="21"/>
      <c r="K28" s="21"/>
      <c r="L28" s="21"/>
      <c r="M28" s="22"/>
      <c r="N28" s="22"/>
      <c r="O28" s="21"/>
      <c r="P28" s="21"/>
      <c r="Q28" s="21"/>
      <c r="R28" s="21"/>
      <c r="S28" s="21"/>
      <c r="T28" s="21"/>
      <c r="U28" s="21"/>
      <c r="V28" s="21"/>
      <c r="W28" s="21"/>
      <c r="AA28" s="90" t="s">
        <v>127</v>
      </c>
      <c r="AB28" s="21"/>
      <c r="AC28" s="21"/>
      <c r="AD28" s="21"/>
      <c r="AE28" s="21"/>
      <c r="AF28" s="21"/>
      <c r="AG28" s="21"/>
      <c r="AH28" s="21"/>
      <c r="AJ28" s="21"/>
    </row>
    <row r="29" spans="2:37" x14ac:dyDescent="0.3">
      <c r="C29" s="21"/>
      <c r="D29" s="21"/>
      <c r="E29" s="90" t="s">
        <v>118</v>
      </c>
      <c r="F29" s="21"/>
      <c r="G29" s="21"/>
      <c r="H29" s="21"/>
      <c r="I29" s="21"/>
      <c r="J29" s="21"/>
      <c r="K29" s="1"/>
      <c r="L29" s="21"/>
      <c r="M29" s="22"/>
      <c r="N29" s="22"/>
      <c r="O29" s="21"/>
      <c r="P29" s="21"/>
      <c r="AJ29" t="s">
        <v>3</v>
      </c>
    </row>
    <row r="30" spans="2:37" x14ac:dyDescent="0.3">
      <c r="C30" s="90"/>
      <c r="D30" s="21"/>
      <c r="E30" s="90" t="s">
        <v>119</v>
      </c>
      <c r="F30" s="21"/>
      <c r="G30" s="21"/>
      <c r="H30" s="21"/>
      <c r="I30" s="21"/>
      <c r="J30" s="21"/>
      <c r="K30" s="1"/>
      <c r="L30" s="1"/>
      <c r="M30" s="1"/>
      <c r="N30" s="1"/>
      <c r="O30" s="1"/>
      <c r="P30" s="1"/>
    </row>
    <row r="31" spans="2:37" x14ac:dyDescent="0.3">
      <c r="C31" s="90"/>
      <c r="D31" s="21"/>
      <c r="E31" s="90" t="s">
        <v>120</v>
      </c>
      <c r="F31" s="21"/>
      <c r="G31" s="21"/>
      <c r="H31" s="21"/>
      <c r="I31" s="21"/>
      <c r="J31" s="21"/>
    </row>
    <row r="32" spans="2:37" x14ac:dyDescent="0.3">
      <c r="C32" s="21"/>
      <c r="D32" s="21"/>
      <c r="E32" s="90" t="s">
        <v>121</v>
      </c>
      <c r="F32" s="21"/>
      <c r="G32" s="21"/>
      <c r="H32" s="21"/>
      <c r="I32" s="21"/>
      <c r="J32" s="21"/>
    </row>
    <row r="33" spans="3:10" x14ac:dyDescent="0.3">
      <c r="C33" s="21"/>
      <c r="D33" s="21"/>
      <c r="E33" s="90"/>
      <c r="F33" s="21"/>
      <c r="G33" s="21"/>
      <c r="H33" s="21"/>
      <c r="I33" s="21"/>
      <c r="J33" s="21"/>
    </row>
    <row r="34" spans="3:10" x14ac:dyDescent="0.3">
      <c r="C34" s="91"/>
      <c r="E34" s="92"/>
    </row>
    <row r="35" spans="3:10" x14ac:dyDescent="0.3">
      <c r="C35" s="91"/>
    </row>
    <row r="36" spans="3:10" x14ac:dyDescent="0.3">
      <c r="C36" s="2"/>
    </row>
  </sheetData>
  <pageMargins left="0.7" right="0.7" top="0.75" bottom="0.75" header="0.3" footer="0.3"/>
  <pageSetup orientation="landscape" r:id="rId1"/>
  <headerFooter>
    <oddHeader>&amp;A</oddHeader>
    <oddFooter>Page &amp;P</oddFooter>
  </headerFooter>
  <colBreaks count="2" manualBreakCount="2">
    <brk id="12" max="1048575" man="1"/>
    <brk id="23"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Data!$E$3:$E$6</xm:f>
          </x14:formula1>
          <xm:sqref>D3</xm:sqref>
        </x14:dataValidation>
        <x14:dataValidation type="list" allowBlank="1" showInputMessage="1" showErrorMessage="1" xr:uid="{00000000-0002-0000-0200-000001000000}">
          <x14:formula1>
            <xm:f>Data!$A$3:$A$12</xm:f>
          </x14:formula1>
          <xm:sqref>AA24:AH24 P7 E24:L24 F7 AA7 P24:W24 AJ24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7"/>
  <sheetViews>
    <sheetView zoomScale="132" zoomScaleNormal="132" workbookViewId="0">
      <selection activeCell="A10" sqref="A10"/>
    </sheetView>
  </sheetViews>
  <sheetFormatPr defaultRowHeight="14.4" x14ac:dyDescent="0.3"/>
  <cols>
    <col min="1" max="1" width="15.44140625" customWidth="1"/>
    <col min="4" max="4" width="6.44140625" customWidth="1"/>
    <col min="5" max="5" width="12" customWidth="1"/>
    <col min="9" max="9" width="11.33203125" customWidth="1"/>
    <col min="13" max="13" width="11.6640625" customWidth="1"/>
  </cols>
  <sheetData>
    <row r="1" spans="1:16" ht="18" x14ac:dyDescent="0.35">
      <c r="A1" s="3" t="s">
        <v>18</v>
      </c>
    </row>
    <row r="3" spans="1:16" x14ac:dyDescent="0.3">
      <c r="B3" s="25">
        <f>+'RF System Calc'!G3</f>
        <v>2.87</v>
      </c>
      <c r="C3" s="2" t="s">
        <v>5</v>
      </c>
      <c r="E3" t="s">
        <v>13</v>
      </c>
    </row>
    <row r="4" spans="1:16" x14ac:dyDescent="0.3">
      <c r="B4" s="4">
        <v>1</v>
      </c>
      <c r="C4" s="2" t="s">
        <v>21</v>
      </c>
      <c r="E4" t="s">
        <v>75</v>
      </c>
    </row>
    <row r="5" spans="1:16" x14ac:dyDescent="0.3">
      <c r="B5" s="1"/>
    </row>
    <row r="6" spans="1:16" x14ac:dyDescent="0.3">
      <c r="A6" t="s">
        <v>19</v>
      </c>
      <c r="B6" s="27">
        <f>'RF System Calc'!E21</f>
        <v>13.695</v>
      </c>
      <c r="C6">
        <v>1</v>
      </c>
      <c r="F6" s="28">
        <f>'RF System Calc'!F21</f>
        <v>12.26</v>
      </c>
      <c r="G6">
        <v>2</v>
      </c>
      <c r="J6" s="28">
        <f>'RF System Calc'!G21</f>
        <v>12.26</v>
      </c>
      <c r="K6">
        <v>3</v>
      </c>
      <c r="N6" s="28">
        <f>'RF System Calc'!H21</f>
        <v>12.26</v>
      </c>
      <c r="O6">
        <v>4</v>
      </c>
    </row>
    <row r="7" spans="1:16" x14ac:dyDescent="0.3">
      <c r="B7" s="12"/>
      <c r="F7" s="12"/>
      <c r="J7" s="12"/>
      <c r="N7" s="12"/>
    </row>
    <row r="8" spans="1:16" x14ac:dyDescent="0.3">
      <c r="A8" s="5" t="s">
        <v>41</v>
      </c>
      <c r="B8" s="24">
        <v>1</v>
      </c>
      <c r="C8" s="9">
        <f>+B8</f>
        <v>1</v>
      </c>
      <c r="E8" s="5" t="s">
        <v>41</v>
      </c>
      <c r="F8" s="24">
        <v>1</v>
      </c>
      <c r="G8" s="9">
        <f>+F8</f>
        <v>1</v>
      </c>
      <c r="I8" s="5" t="s">
        <v>41</v>
      </c>
      <c r="J8" s="24">
        <v>1</v>
      </c>
      <c r="K8" s="9">
        <f>+J8</f>
        <v>1</v>
      </c>
      <c r="M8" s="5" t="s">
        <v>41</v>
      </c>
      <c r="N8" s="24">
        <v>1</v>
      </c>
      <c r="O8" s="9">
        <f>+N8</f>
        <v>1</v>
      </c>
    </row>
    <row r="9" spans="1:16" ht="15" thickBot="1" x14ac:dyDescent="0.35">
      <c r="B9" s="12"/>
      <c r="C9" s="9" t="s">
        <v>6</v>
      </c>
      <c r="F9" s="12"/>
      <c r="G9" s="9" t="s">
        <v>6</v>
      </c>
      <c r="J9" s="12"/>
      <c r="K9" s="9" t="s">
        <v>6</v>
      </c>
      <c r="N9" s="12"/>
      <c r="O9" s="9" t="s">
        <v>6</v>
      </c>
    </row>
    <row r="10" spans="1:16" ht="15" thickBot="1" x14ac:dyDescent="0.35">
      <c r="A10" s="23" t="s">
        <v>125</v>
      </c>
      <c r="B10" s="26">
        <f>VLOOKUP(A10,Data!$A$3:$B$11,2,0)</f>
        <v>27</v>
      </c>
      <c r="C10" s="16">
        <f>+$B$6-B10-(+$B$3/100)*C8</f>
        <v>-13.3337</v>
      </c>
      <c r="D10">
        <v>1</v>
      </c>
      <c r="E10" s="23" t="s">
        <v>48</v>
      </c>
      <c r="F10" s="26">
        <f>VLOOKUP(E10,Data!$A$3:$B$11,2,0)</f>
        <v>14</v>
      </c>
      <c r="G10" s="16">
        <f>+$B$6-F10-(+$B$3/100)*G8</f>
        <v>-0.33369999999999972</v>
      </c>
      <c r="H10">
        <v>1</v>
      </c>
      <c r="I10" s="23" t="s">
        <v>48</v>
      </c>
      <c r="J10" s="26">
        <f>VLOOKUP(I10,Data!$A$3:$B$11,2,0)</f>
        <v>14</v>
      </c>
      <c r="K10" s="16">
        <f>+$B$6-J10-(+$B$3/100)*K8</f>
        <v>-0.33369999999999972</v>
      </c>
      <c r="L10">
        <v>1</v>
      </c>
      <c r="M10" s="23" t="s">
        <v>48</v>
      </c>
      <c r="N10" s="26">
        <f>VLOOKUP(M10,Data!$A$3:$B$11,2,0)</f>
        <v>14</v>
      </c>
      <c r="O10" s="16">
        <f>+$B$6-N10-(+$B$3/100)*O8</f>
        <v>-0.33369999999999972</v>
      </c>
      <c r="P10">
        <v>1</v>
      </c>
    </row>
    <row r="11" spans="1:16" x14ac:dyDescent="0.3">
      <c r="A11" s="18"/>
      <c r="B11" s="12"/>
      <c r="C11" s="19"/>
      <c r="E11" s="18"/>
      <c r="F11" s="12"/>
      <c r="G11" s="19"/>
      <c r="I11" s="18"/>
      <c r="J11" s="12"/>
      <c r="K11" s="19"/>
      <c r="M11" s="18"/>
      <c r="N11" s="12"/>
      <c r="O11" s="19"/>
    </row>
    <row r="12" spans="1:16" x14ac:dyDescent="0.3">
      <c r="A12" s="5" t="s">
        <v>20</v>
      </c>
      <c r="B12" s="20">
        <v>40</v>
      </c>
      <c r="C12" s="9">
        <f>+B12+C8</f>
        <v>41</v>
      </c>
      <c r="E12" s="5" t="s">
        <v>20</v>
      </c>
      <c r="F12" s="20">
        <v>10</v>
      </c>
      <c r="G12" s="9">
        <f>+F12+G8</f>
        <v>11</v>
      </c>
      <c r="I12" s="5" t="s">
        <v>20</v>
      </c>
      <c r="J12" s="20">
        <v>10</v>
      </c>
      <c r="K12" s="9">
        <f>+J12+K8</f>
        <v>11</v>
      </c>
      <c r="M12" s="5" t="s">
        <v>20</v>
      </c>
      <c r="N12" s="20">
        <v>10</v>
      </c>
      <c r="O12" s="9">
        <f>+N12+O8</f>
        <v>11</v>
      </c>
    </row>
    <row r="13" spans="1:16" ht="15" thickBot="1" x14ac:dyDescent="0.35">
      <c r="B13" s="12"/>
      <c r="C13" s="9" t="s">
        <v>6</v>
      </c>
      <c r="F13" s="12"/>
      <c r="G13" s="9" t="s">
        <v>6</v>
      </c>
      <c r="J13" s="12"/>
      <c r="K13" s="9" t="s">
        <v>6</v>
      </c>
      <c r="N13" s="12"/>
      <c r="O13" s="9" t="s">
        <v>6</v>
      </c>
    </row>
    <row r="14" spans="1:16" ht="15" thickBot="1" x14ac:dyDescent="0.35">
      <c r="A14" s="23" t="s">
        <v>47</v>
      </c>
      <c r="B14" s="26">
        <f>VLOOKUP(A14,Data!$A$3:$B$11,2,0)</f>
        <v>20</v>
      </c>
      <c r="C14" s="16">
        <f>+$B$6-B14-($B$4*1)-(+$B$3/100)*C12</f>
        <v>-8.4817</v>
      </c>
      <c r="D14">
        <v>2</v>
      </c>
      <c r="E14" s="23" t="s">
        <v>48</v>
      </c>
      <c r="F14" s="26">
        <f>VLOOKUP(E14,Data!$A$3:$B$11,2,0)</f>
        <v>14</v>
      </c>
      <c r="G14" s="16">
        <f>+$B$6-F14-($B$4*1)-(+$B$3/100)*G12</f>
        <v>-1.6206999999999998</v>
      </c>
      <c r="H14">
        <v>2</v>
      </c>
      <c r="I14" s="23" t="s">
        <v>48</v>
      </c>
      <c r="J14" s="26">
        <f>VLOOKUP(I14,Data!$A$3:$B$11,2,0)</f>
        <v>14</v>
      </c>
      <c r="K14" s="16">
        <f>+$B$6-J14-($B$4*1)-(+$B$3/100)*K12</f>
        <v>-1.6206999999999998</v>
      </c>
      <c r="L14">
        <v>2</v>
      </c>
      <c r="M14" s="23" t="s">
        <v>48</v>
      </c>
      <c r="N14" s="26">
        <f>VLOOKUP(M14,Data!$A$3:$B$11,2,0)</f>
        <v>14</v>
      </c>
      <c r="O14" s="16">
        <f>+$B$6-N14-($B$4*1)-(+$B$3/100)*O12</f>
        <v>-1.6206999999999998</v>
      </c>
      <c r="P14">
        <v>2</v>
      </c>
    </row>
    <row r="15" spans="1:16" x14ac:dyDescent="0.3">
      <c r="B15" s="12"/>
      <c r="C15" s="19"/>
      <c r="F15" s="12"/>
      <c r="G15" s="19"/>
      <c r="J15" s="12"/>
      <c r="K15" s="19"/>
      <c r="N15" s="12"/>
      <c r="O15" s="19"/>
    </row>
    <row r="16" spans="1:16" x14ac:dyDescent="0.3">
      <c r="A16" s="5" t="s">
        <v>20</v>
      </c>
      <c r="B16" s="20">
        <v>40</v>
      </c>
      <c r="C16" s="9">
        <f>+B16+C12</f>
        <v>81</v>
      </c>
      <c r="E16" s="5" t="s">
        <v>20</v>
      </c>
      <c r="F16" s="20">
        <v>10</v>
      </c>
      <c r="G16" s="9">
        <f>+F16+G12</f>
        <v>21</v>
      </c>
      <c r="I16" s="5" t="s">
        <v>20</v>
      </c>
      <c r="J16" s="20">
        <v>10</v>
      </c>
      <c r="K16" s="9">
        <f>+J16+K12</f>
        <v>21</v>
      </c>
      <c r="M16" s="5" t="s">
        <v>20</v>
      </c>
      <c r="N16" s="20">
        <v>10</v>
      </c>
      <c r="O16" s="9">
        <f>+N16+O12</f>
        <v>21</v>
      </c>
    </row>
    <row r="17" spans="1:16" ht="15" thickBot="1" x14ac:dyDescent="0.35">
      <c r="B17" s="12"/>
      <c r="C17" s="9" t="s">
        <v>6</v>
      </c>
      <c r="F17" s="12"/>
      <c r="G17" s="9" t="s">
        <v>6</v>
      </c>
      <c r="J17" s="12"/>
      <c r="K17" s="9" t="s">
        <v>6</v>
      </c>
      <c r="N17" s="12"/>
      <c r="O17" s="9" t="s">
        <v>6</v>
      </c>
    </row>
    <row r="18" spans="1:16" ht="15" thickBot="1" x14ac:dyDescent="0.35">
      <c r="A18" s="23" t="s">
        <v>47</v>
      </c>
      <c r="B18" s="26">
        <f>VLOOKUP(A18,Data!$A$3:$B$11,2,0)</f>
        <v>20</v>
      </c>
      <c r="C18" s="16">
        <f>+$B$6-B18-($B$4*2)-(+$B$3/100)*C16</f>
        <v>-10.6297</v>
      </c>
      <c r="D18">
        <v>3</v>
      </c>
      <c r="E18" s="23" t="s">
        <v>48</v>
      </c>
      <c r="F18" s="26">
        <f>VLOOKUP(E18,Data!$A$3:$B$11,2,0)</f>
        <v>14</v>
      </c>
      <c r="G18" s="16">
        <f>+$B$6-F18-($B$4*2)-(+$B$3/100)*G16</f>
        <v>-2.9076999999999997</v>
      </c>
      <c r="H18">
        <v>3</v>
      </c>
      <c r="I18" s="23" t="s">
        <v>48</v>
      </c>
      <c r="J18" s="26">
        <f>VLOOKUP(I18,Data!$A$3:$B$11,2,0)</f>
        <v>14</v>
      </c>
      <c r="K18" s="16">
        <f>+$B$6-J18-($B$4*2)-(+$B$3/100)*K16</f>
        <v>-2.9076999999999997</v>
      </c>
      <c r="L18">
        <v>3</v>
      </c>
      <c r="M18" s="23" t="s">
        <v>48</v>
      </c>
      <c r="N18" s="26">
        <f>VLOOKUP(M18,Data!$A$3:$B$11,2,0)</f>
        <v>14</v>
      </c>
      <c r="O18" s="16">
        <f>+$B$6-N18-($B$4*2)-(+$B$3/100)*O16</f>
        <v>-2.9076999999999997</v>
      </c>
      <c r="P18">
        <v>3</v>
      </c>
    </row>
    <row r="19" spans="1:16" x14ac:dyDescent="0.3">
      <c r="B19" s="12"/>
      <c r="C19" s="19"/>
      <c r="F19" s="12"/>
      <c r="G19" s="19"/>
      <c r="J19" s="12"/>
      <c r="K19" s="19"/>
      <c r="N19" s="12"/>
      <c r="O19" s="19"/>
    </row>
    <row r="20" spans="1:16" x14ac:dyDescent="0.3">
      <c r="A20" s="5" t="s">
        <v>20</v>
      </c>
      <c r="B20" s="20">
        <v>40</v>
      </c>
      <c r="C20" s="9">
        <f>+B20+C16</f>
        <v>121</v>
      </c>
      <c r="E20" s="5" t="s">
        <v>20</v>
      </c>
      <c r="F20" s="20">
        <v>20</v>
      </c>
      <c r="G20" s="9">
        <f>+F20+G16</f>
        <v>41</v>
      </c>
      <c r="I20" s="5" t="s">
        <v>20</v>
      </c>
      <c r="J20" s="20">
        <v>20</v>
      </c>
      <c r="K20" s="9">
        <f>+J20+K16</f>
        <v>41</v>
      </c>
      <c r="M20" s="5" t="s">
        <v>20</v>
      </c>
      <c r="N20" s="20">
        <v>20</v>
      </c>
      <c r="O20" s="9">
        <f>+N20+O16</f>
        <v>41</v>
      </c>
    </row>
    <row r="21" spans="1:16" ht="15" thickBot="1" x14ac:dyDescent="0.35">
      <c r="B21" s="12"/>
      <c r="C21" s="9" t="s">
        <v>6</v>
      </c>
      <c r="F21" s="12"/>
      <c r="G21" s="9" t="s">
        <v>6</v>
      </c>
      <c r="J21" s="12"/>
      <c r="K21" s="9" t="s">
        <v>6</v>
      </c>
      <c r="N21" s="12"/>
      <c r="O21" s="9" t="s">
        <v>6</v>
      </c>
    </row>
    <row r="22" spans="1:16" ht="15" thickBot="1" x14ac:dyDescent="0.35">
      <c r="A22" s="23" t="s">
        <v>47</v>
      </c>
      <c r="B22" s="26">
        <f>VLOOKUP(A22,Data!$A$3:$B$11,2,0)</f>
        <v>20</v>
      </c>
      <c r="C22" s="16">
        <f>+$B$6-B22-($B$4*3)-(+$B$3/100)*C20</f>
        <v>-12.777699999999999</v>
      </c>
      <c r="D22">
        <v>4</v>
      </c>
      <c r="E22" s="23" t="s">
        <v>49</v>
      </c>
      <c r="F22" s="26">
        <f>VLOOKUP(E22,Data!$A$3:$B$11,2,0)</f>
        <v>12</v>
      </c>
      <c r="G22" s="16">
        <f>+$B$6-F22-($B$4*3)-(+$B$3/100)*G20</f>
        <v>-2.4817</v>
      </c>
      <c r="H22">
        <v>4</v>
      </c>
      <c r="I22" s="23" t="s">
        <v>49</v>
      </c>
      <c r="J22" s="26">
        <f>VLOOKUP(I22,Data!$A$3:$B$11,2,0)</f>
        <v>12</v>
      </c>
      <c r="K22" s="16">
        <f>+$B$6-J22-($B$4*3)-(+$B$3/100)*K20</f>
        <v>-2.4817</v>
      </c>
      <c r="L22">
        <v>4</v>
      </c>
      <c r="M22" s="23" t="s">
        <v>49</v>
      </c>
      <c r="N22" s="26">
        <f>VLOOKUP(M22,Data!$A$3:$B$11,2,0)</f>
        <v>12</v>
      </c>
      <c r="O22" s="16">
        <f>+$B$6-N22-($B$4*3)-(+$B$3/100)*O20</f>
        <v>-2.4817</v>
      </c>
      <c r="P22">
        <v>4</v>
      </c>
    </row>
    <row r="23" spans="1:16" x14ac:dyDescent="0.3">
      <c r="B23" s="12"/>
      <c r="C23" s="19"/>
      <c r="F23" s="12"/>
      <c r="G23" s="19"/>
      <c r="J23" s="12"/>
      <c r="K23" s="19"/>
      <c r="N23" s="12"/>
      <c r="O23" s="19"/>
    </row>
    <row r="24" spans="1:16" x14ac:dyDescent="0.3">
      <c r="A24" s="5" t="s">
        <v>20</v>
      </c>
      <c r="B24" s="20">
        <v>40</v>
      </c>
      <c r="C24" s="9">
        <f>+B24+C20</f>
        <v>161</v>
      </c>
      <c r="E24" s="5" t="s">
        <v>20</v>
      </c>
      <c r="F24" s="20">
        <v>10</v>
      </c>
      <c r="G24" s="9">
        <f>+F24+G20</f>
        <v>51</v>
      </c>
      <c r="I24" s="5" t="s">
        <v>20</v>
      </c>
      <c r="J24" s="20">
        <v>10</v>
      </c>
      <c r="K24" s="9">
        <f>+J24+K20</f>
        <v>51</v>
      </c>
      <c r="M24" s="5" t="s">
        <v>20</v>
      </c>
      <c r="N24" s="20">
        <v>10</v>
      </c>
      <c r="O24" s="9">
        <f>+N24+O20</f>
        <v>51</v>
      </c>
    </row>
    <row r="25" spans="1:16" ht="15" thickBot="1" x14ac:dyDescent="0.35">
      <c r="B25" s="12"/>
      <c r="C25" s="9" t="s">
        <v>6</v>
      </c>
      <c r="F25" s="12"/>
      <c r="G25" s="9" t="s">
        <v>6</v>
      </c>
      <c r="J25" s="12"/>
      <c r="K25" s="9" t="s">
        <v>6</v>
      </c>
      <c r="N25" s="12"/>
      <c r="O25" s="9" t="s">
        <v>6</v>
      </c>
    </row>
    <row r="26" spans="1:16" ht="15" thickBot="1" x14ac:dyDescent="0.35">
      <c r="A26" s="23" t="s">
        <v>124</v>
      </c>
      <c r="B26" s="26">
        <f>VLOOKUP(A26,Data!$A$3:$B$11,2,0)</f>
        <v>17</v>
      </c>
      <c r="C26" s="16">
        <f>+$B$6-B26-($B$4*4)-(+$B$3/100)*C24</f>
        <v>-11.925699999999999</v>
      </c>
      <c r="D26">
        <v>5</v>
      </c>
      <c r="E26" s="23" t="s">
        <v>49</v>
      </c>
      <c r="F26" s="26">
        <f>VLOOKUP(E26,Data!$A$3:$B$11,2,0)</f>
        <v>12</v>
      </c>
      <c r="G26" s="16">
        <f>+$B$6-F26-($B$4*4)-(+$B$3/100)*G24</f>
        <v>-3.7686999999999999</v>
      </c>
      <c r="H26">
        <v>5</v>
      </c>
      <c r="I26" s="23" t="s">
        <v>49</v>
      </c>
      <c r="J26" s="26">
        <f>VLOOKUP(I26,Data!$A$3:$B$11,2,0)</f>
        <v>12</v>
      </c>
      <c r="K26" s="16">
        <f>+$B$6-J26-($B$4*4)-(+$B$3/100)*K24</f>
        <v>-3.7686999999999999</v>
      </c>
      <c r="L26">
        <v>5</v>
      </c>
      <c r="M26" s="23" t="s">
        <v>49</v>
      </c>
      <c r="N26" s="26">
        <f>VLOOKUP(M26,Data!$A$3:$B$11,2,0)</f>
        <v>12</v>
      </c>
      <c r="O26" s="16">
        <f>+$B$6-N26-($B$4*4)-(+$B$3/100)*O24</f>
        <v>-3.7686999999999999</v>
      </c>
      <c r="P26">
        <v>5</v>
      </c>
    </row>
    <row r="27" spans="1:16" x14ac:dyDescent="0.3">
      <c r="B27" s="12"/>
      <c r="C27" s="19"/>
      <c r="F27" s="12"/>
      <c r="G27" s="19"/>
      <c r="J27" s="12"/>
      <c r="K27" s="19"/>
      <c r="N27" s="12"/>
      <c r="O27" s="19"/>
    </row>
    <row r="28" spans="1:16" x14ac:dyDescent="0.3">
      <c r="A28" s="5" t="s">
        <v>20</v>
      </c>
      <c r="B28" s="20">
        <v>40</v>
      </c>
      <c r="C28" s="9">
        <f>+B28+C24</f>
        <v>201</v>
      </c>
      <c r="E28" s="5" t="s">
        <v>20</v>
      </c>
      <c r="F28" s="20">
        <v>30</v>
      </c>
      <c r="G28" s="9">
        <f>+F28+G24</f>
        <v>81</v>
      </c>
      <c r="I28" s="5" t="s">
        <v>20</v>
      </c>
      <c r="J28" s="20">
        <v>30</v>
      </c>
      <c r="K28" s="9">
        <f>+J28+K24</f>
        <v>81</v>
      </c>
      <c r="M28" s="5" t="s">
        <v>20</v>
      </c>
      <c r="N28" s="20">
        <v>30</v>
      </c>
      <c r="O28" s="9">
        <f>+N28+O24</f>
        <v>81</v>
      </c>
    </row>
    <row r="29" spans="1:16" ht="15" thickBot="1" x14ac:dyDescent="0.35">
      <c r="B29" s="12"/>
      <c r="C29" s="9" t="s">
        <v>6</v>
      </c>
      <c r="F29" s="12"/>
      <c r="G29" s="9" t="s">
        <v>6</v>
      </c>
      <c r="J29" s="12"/>
      <c r="K29" s="9" t="s">
        <v>6</v>
      </c>
      <c r="N29" s="12"/>
      <c r="O29" s="9" t="s">
        <v>6</v>
      </c>
    </row>
    <row r="30" spans="1:16" ht="15" thickBot="1" x14ac:dyDescent="0.35">
      <c r="A30" s="23" t="s">
        <v>48</v>
      </c>
      <c r="B30" s="26">
        <f>VLOOKUP(A30,Data!$A$3:$B$11,2,0)</f>
        <v>14</v>
      </c>
      <c r="C30" s="16">
        <f>+$B$6-B30-($B$4*5)-(+$B$3/100)*C28</f>
        <v>-11.073699999999999</v>
      </c>
      <c r="D30">
        <v>6</v>
      </c>
      <c r="E30" s="23" t="s">
        <v>44</v>
      </c>
      <c r="F30" s="26">
        <f>VLOOKUP(E30,Data!$A$3:$B$11,2,0)</f>
        <v>7</v>
      </c>
      <c r="G30" s="16">
        <f>+$B$6-F30-($B$4*5)-(+$B$3/100)*G28</f>
        <v>-0.6296999999999997</v>
      </c>
      <c r="H30">
        <v>6</v>
      </c>
      <c r="I30" s="23" t="s">
        <v>44</v>
      </c>
      <c r="J30" s="26">
        <f>VLOOKUP(I30,Data!$A$3:$B$11,2,0)</f>
        <v>7</v>
      </c>
      <c r="K30" s="16">
        <f>+$B$6-J30-($B$4*5)-(+$B$3/100)*K28</f>
        <v>-0.6296999999999997</v>
      </c>
      <c r="L30">
        <v>6</v>
      </c>
      <c r="M30" s="23" t="s">
        <v>44</v>
      </c>
      <c r="N30" s="26">
        <f>VLOOKUP(M30,Data!$A$3:$B$11,2,0)</f>
        <v>7</v>
      </c>
      <c r="O30" s="16">
        <f>+$B$6-N30-($B$4*5)-(+$B$3/100)*O28</f>
        <v>-0.6296999999999997</v>
      </c>
      <c r="P30">
        <v>6</v>
      </c>
    </row>
    <row r="31" spans="1:16" x14ac:dyDescent="0.3">
      <c r="B31" s="12"/>
      <c r="C31" s="19"/>
      <c r="F31" s="12"/>
      <c r="G31" s="19"/>
      <c r="J31" s="12"/>
      <c r="K31" s="19"/>
      <c r="N31" s="12"/>
      <c r="O31" s="19"/>
    </row>
    <row r="32" spans="1:16" x14ac:dyDescent="0.3">
      <c r="A32" s="5" t="s">
        <v>20</v>
      </c>
      <c r="B32" s="20">
        <v>30</v>
      </c>
      <c r="C32" s="9">
        <f>+B32+C28</f>
        <v>231</v>
      </c>
      <c r="E32" s="5" t="s">
        <v>20</v>
      </c>
      <c r="F32" s="20">
        <v>30</v>
      </c>
      <c r="G32" s="9">
        <f>+F32+G28</f>
        <v>111</v>
      </c>
      <c r="I32" s="5" t="s">
        <v>20</v>
      </c>
      <c r="J32" s="20">
        <v>30</v>
      </c>
      <c r="K32" s="9">
        <f>+J32+K28</f>
        <v>111</v>
      </c>
      <c r="M32" s="5" t="s">
        <v>20</v>
      </c>
      <c r="N32" s="20">
        <v>30</v>
      </c>
      <c r="O32" s="9">
        <f>+N32+O28</f>
        <v>111</v>
      </c>
    </row>
    <row r="33" spans="1:16" ht="15" thickBot="1" x14ac:dyDescent="0.35">
      <c r="B33" s="12"/>
      <c r="C33" s="9" t="s">
        <v>6</v>
      </c>
      <c r="F33" s="12"/>
      <c r="G33" s="9" t="s">
        <v>6</v>
      </c>
      <c r="J33" s="12"/>
      <c r="K33" s="9" t="s">
        <v>6</v>
      </c>
      <c r="N33" s="12"/>
      <c r="O33" s="9" t="s">
        <v>6</v>
      </c>
    </row>
    <row r="34" spans="1:16" ht="15" thickBot="1" x14ac:dyDescent="0.35">
      <c r="A34" s="23" t="s">
        <v>48</v>
      </c>
      <c r="B34" s="26">
        <f>VLOOKUP(A34,Data!$A$3:$B$11,2,0)</f>
        <v>14</v>
      </c>
      <c r="C34" s="16">
        <f>+$B$6-B34-($B$4*5)-(+$B$3/100)*C32</f>
        <v>-11.934699999999999</v>
      </c>
      <c r="D34">
        <v>7</v>
      </c>
      <c r="E34" s="23" t="s">
        <v>46</v>
      </c>
      <c r="F34" s="26" t="e">
        <f>VLOOKUP(E34,Data!$A$3:$B$11,2,0)</f>
        <v>#N/A</v>
      </c>
      <c r="G34" s="16" t="e">
        <f>+$B$6-F34-($B$4*5)-(+$B$3/100)*G32</f>
        <v>#N/A</v>
      </c>
      <c r="H34">
        <v>7</v>
      </c>
      <c r="I34" s="23" t="s">
        <v>46</v>
      </c>
      <c r="J34" s="26" t="e">
        <f>VLOOKUP(I34,Data!$A$3:$B$11,2,0)</f>
        <v>#N/A</v>
      </c>
      <c r="K34" s="16" t="e">
        <f>+$B$6-J34-($B$4*5)-(+$B$3/100)*K32</f>
        <v>#N/A</v>
      </c>
      <c r="L34">
        <v>7</v>
      </c>
      <c r="M34" s="23" t="s">
        <v>46</v>
      </c>
      <c r="N34" s="26" t="e">
        <f>VLOOKUP(M34,Data!$A$3:$B$11,2,0)</f>
        <v>#N/A</v>
      </c>
      <c r="O34" s="16" t="e">
        <f>+$B$6-N34-($B$4*5)-(+$B$3/100)*O32</f>
        <v>#N/A</v>
      </c>
      <c r="P34">
        <v>7</v>
      </c>
    </row>
    <row r="35" spans="1:16" x14ac:dyDescent="0.3">
      <c r="B35" s="12"/>
      <c r="C35" s="19"/>
      <c r="F35" s="12"/>
      <c r="G35" s="19"/>
      <c r="J35" s="12"/>
      <c r="K35" s="19"/>
      <c r="N35" s="12"/>
      <c r="O35" s="19"/>
    </row>
    <row r="36" spans="1:16" x14ac:dyDescent="0.3">
      <c r="A36" s="5" t="s">
        <v>20</v>
      </c>
      <c r="B36" s="20">
        <v>30</v>
      </c>
      <c r="C36" s="9">
        <f>+B36+C32</f>
        <v>261</v>
      </c>
      <c r="E36" s="5" t="s">
        <v>20</v>
      </c>
      <c r="F36" s="20">
        <v>30</v>
      </c>
      <c r="G36" s="9">
        <f>+F36+G32</f>
        <v>141</v>
      </c>
      <c r="I36" s="5" t="s">
        <v>20</v>
      </c>
      <c r="J36" s="20">
        <v>30</v>
      </c>
      <c r="K36" s="9">
        <f>+J36+K32</f>
        <v>141</v>
      </c>
      <c r="M36" s="5" t="s">
        <v>20</v>
      </c>
      <c r="N36" s="20">
        <v>30</v>
      </c>
      <c r="O36" s="9">
        <f>+N36+O32</f>
        <v>141</v>
      </c>
    </row>
    <row r="37" spans="1:16" ht="15" thickBot="1" x14ac:dyDescent="0.35">
      <c r="B37" s="12"/>
      <c r="C37" s="9" t="s">
        <v>6</v>
      </c>
      <c r="F37" s="12"/>
      <c r="G37" s="9" t="s">
        <v>6</v>
      </c>
      <c r="J37" s="12"/>
      <c r="K37" s="9" t="s">
        <v>6</v>
      </c>
      <c r="N37" s="12"/>
      <c r="O37" s="9" t="s">
        <v>6</v>
      </c>
    </row>
    <row r="38" spans="1:16" ht="15" thickBot="1" x14ac:dyDescent="0.35">
      <c r="A38" s="23" t="s">
        <v>48</v>
      </c>
      <c r="B38" s="26">
        <f>VLOOKUP(A38,Data!$A$3:$B$11,2,0)</f>
        <v>14</v>
      </c>
      <c r="C38" s="16">
        <f>+$B$6-B38-($B$4*5)-(+$B$3/100)*C36</f>
        <v>-12.7957</v>
      </c>
      <c r="D38">
        <v>8</v>
      </c>
      <c r="E38" s="23" t="s">
        <v>46</v>
      </c>
      <c r="F38" s="26" t="e">
        <f>VLOOKUP(E38,Data!$A$3:$B$11,2,0)</f>
        <v>#N/A</v>
      </c>
      <c r="G38" s="16" t="e">
        <f>+$B$6-F38-($B$4*5)-(+$B$3/100)*G36</f>
        <v>#N/A</v>
      </c>
      <c r="H38">
        <v>8</v>
      </c>
      <c r="I38" s="23" t="s">
        <v>46</v>
      </c>
      <c r="J38" s="26" t="e">
        <f>VLOOKUP(I38,Data!$A$3:$B$11,2,0)</f>
        <v>#N/A</v>
      </c>
      <c r="K38" s="16" t="e">
        <f>+$B$6-J38-($B$4*5)-(+$B$3/100)*K36</f>
        <v>#N/A</v>
      </c>
      <c r="L38">
        <v>8</v>
      </c>
      <c r="M38" s="23" t="s">
        <v>46</v>
      </c>
      <c r="N38" s="26" t="e">
        <f>VLOOKUP(M38,Data!$A$3:$B$11,2,0)</f>
        <v>#N/A</v>
      </c>
      <c r="O38" s="16" t="e">
        <f>+$B$6-N38-($B$4*5)-(+$B$3/100)*O36</f>
        <v>#N/A</v>
      </c>
      <c r="P38">
        <v>8</v>
      </c>
    </row>
    <row r="39" spans="1:16" x14ac:dyDescent="0.3">
      <c r="B39" s="12"/>
      <c r="C39" s="17"/>
      <c r="F39" s="12"/>
      <c r="G39" s="17"/>
      <c r="J39" s="12"/>
      <c r="K39" s="17"/>
      <c r="N39" s="12"/>
      <c r="O39" s="17"/>
    </row>
    <row r="40" spans="1:16" x14ac:dyDescent="0.3">
      <c r="A40" s="5" t="s">
        <v>20</v>
      </c>
      <c r="B40" s="20">
        <v>30</v>
      </c>
      <c r="C40" s="9">
        <f>+B40+C36</f>
        <v>291</v>
      </c>
      <c r="E40" s="5" t="s">
        <v>20</v>
      </c>
      <c r="F40" s="20">
        <v>30</v>
      </c>
      <c r="G40" s="9">
        <f>+F40+G36</f>
        <v>171</v>
      </c>
      <c r="I40" s="5" t="s">
        <v>20</v>
      </c>
      <c r="J40" s="20">
        <v>30</v>
      </c>
      <c r="K40" s="9">
        <f>+J40+K36</f>
        <v>171</v>
      </c>
      <c r="M40" s="5" t="s">
        <v>20</v>
      </c>
      <c r="N40" s="20">
        <v>30</v>
      </c>
      <c r="O40" s="9">
        <f>+N40+O36</f>
        <v>171</v>
      </c>
    </row>
    <row r="41" spans="1:16" ht="15" thickBot="1" x14ac:dyDescent="0.35">
      <c r="B41" s="12"/>
      <c r="C41" s="9" t="s">
        <v>6</v>
      </c>
      <c r="F41" s="12"/>
      <c r="G41" s="9" t="s">
        <v>6</v>
      </c>
      <c r="J41" s="12"/>
      <c r="K41" s="9" t="s">
        <v>6</v>
      </c>
      <c r="N41" s="12"/>
      <c r="O41" s="9" t="s">
        <v>6</v>
      </c>
    </row>
    <row r="42" spans="1:16" ht="15" thickBot="1" x14ac:dyDescent="0.35">
      <c r="A42" s="23" t="s">
        <v>49</v>
      </c>
      <c r="B42" s="26">
        <f>VLOOKUP(A42,Data!$A$3:$B$11,2,0)</f>
        <v>12</v>
      </c>
      <c r="C42" s="16">
        <f>+$B$6-B42-($B$4*5)-(+$B$3/100)*C40</f>
        <v>-11.656699999999999</v>
      </c>
      <c r="D42">
        <v>9</v>
      </c>
      <c r="E42" s="23" t="s">
        <v>46</v>
      </c>
      <c r="F42" s="26" t="e">
        <f>VLOOKUP(E42,Data!$A$3:$B$11,2,0)</f>
        <v>#N/A</v>
      </c>
      <c r="G42" s="16" t="e">
        <f>+$B$6-F42-($B$4*5)-(+$B$3/100)*G40</f>
        <v>#N/A</v>
      </c>
      <c r="H42">
        <v>9</v>
      </c>
      <c r="I42" s="23" t="s">
        <v>46</v>
      </c>
      <c r="J42" s="26" t="e">
        <f>VLOOKUP(I42,Data!$A$3:$B$11,2,0)</f>
        <v>#N/A</v>
      </c>
      <c r="K42" s="16" t="e">
        <f>+$B$6-J42-($B$4*5)-(+$B$3/100)*K40</f>
        <v>#N/A</v>
      </c>
      <c r="L42">
        <v>9</v>
      </c>
      <c r="M42" s="23" t="s">
        <v>46</v>
      </c>
      <c r="N42" s="26" t="e">
        <f>VLOOKUP(M42,Data!$A$3:$B$11,2,0)</f>
        <v>#N/A</v>
      </c>
      <c r="O42" s="16" t="e">
        <f>+$B$6-N42-($B$4*5)-(+$B$3/100)*O40</f>
        <v>#N/A</v>
      </c>
      <c r="P42">
        <v>9</v>
      </c>
    </row>
    <row r="43" spans="1:16" x14ac:dyDescent="0.3">
      <c r="B43" s="12"/>
      <c r="C43" s="17"/>
      <c r="F43" s="12"/>
      <c r="G43" s="17"/>
      <c r="J43" s="12"/>
      <c r="K43" s="17"/>
      <c r="N43" s="12"/>
      <c r="O43" s="17"/>
    </row>
    <row r="44" spans="1:16" x14ac:dyDescent="0.3">
      <c r="A44" s="5" t="s">
        <v>20</v>
      </c>
      <c r="B44" s="20">
        <v>30</v>
      </c>
      <c r="C44" s="9">
        <f>+B44+C40</f>
        <v>321</v>
      </c>
      <c r="E44" s="5" t="s">
        <v>20</v>
      </c>
      <c r="F44" s="20">
        <v>30</v>
      </c>
      <c r="G44" s="9">
        <f>+F44+G40</f>
        <v>201</v>
      </c>
      <c r="I44" s="5" t="s">
        <v>20</v>
      </c>
      <c r="J44" s="20">
        <v>30</v>
      </c>
      <c r="K44" s="9">
        <f>+J44+K40</f>
        <v>201</v>
      </c>
      <c r="M44" s="5" t="s">
        <v>20</v>
      </c>
      <c r="N44" s="20">
        <v>30</v>
      </c>
      <c r="O44" s="9">
        <f>+N44+O40</f>
        <v>201</v>
      </c>
    </row>
    <row r="45" spans="1:16" ht="15" thickBot="1" x14ac:dyDescent="0.35">
      <c r="B45" s="12"/>
      <c r="C45" s="9" t="s">
        <v>6</v>
      </c>
      <c r="F45" s="12"/>
      <c r="G45" s="9" t="s">
        <v>6</v>
      </c>
      <c r="J45" s="12"/>
      <c r="K45" s="9" t="s">
        <v>6</v>
      </c>
      <c r="N45" s="12"/>
      <c r="O45" s="9" t="s">
        <v>6</v>
      </c>
    </row>
    <row r="46" spans="1:16" ht="15" thickBot="1" x14ac:dyDescent="0.35">
      <c r="A46" s="23" t="s">
        <v>49</v>
      </c>
      <c r="B46" s="26">
        <f>VLOOKUP(A46,Data!$A$3:$B$11,2,0)</f>
        <v>12</v>
      </c>
      <c r="C46" s="16">
        <f>+$B$6-B46-($B$4*5)-(+$B$3/100)*C44</f>
        <v>-12.5177</v>
      </c>
      <c r="D46">
        <v>10</v>
      </c>
      <c r="E46" s="23" t="s">
        <v>44</v>
      </c>
      <c r="F46" s="26">
        <f>VLOOKUP(E46,Data!$A$3:$B$11,2,0)</f>
        <v>7</v>
      </c>
      <c r="G46" s="16">
        <f>+$B$6-F46-($B$4*5)-(+$B$3/100)*G44</f>
        <v>-4.0736999999999997</v>
      </c>
      <c r="H46">
        <v>10</v>
      </c>
      <c r="I46" s="23" t="s">
        <v>44</v>
      </c>
      <c r="J46" s="26">
        <f>VLOOKUP(I46,Data!$A$3:$B$11,2,0)</f>
        <v>7</v>
      </c>
      <c r="K46" s="16">
        <f>+$B$6-J46-($B$4*5)-(+$B$3/100)*K44</f>
        <v>-4.0736999999999997</v>
      </c>
      <c r="L46">
        <v>10</v>
      </c>
      <c r="M46" s="23" t="s">
        <v>44</v>
      </c>
      <c r="N46" s="26">
        <f>VLOOKUP(M46,Data!$A$3:$B$11,2,0)</f>
        <v>7</v>
      </c>
      <c r="O46" s="16">
        <f>+$B$6-N46-($B$4*5)-(+$B$3/100)*O44</f>
        <v>-4.0736999999999997</v>
      </c>
      <c r="P46">
        <v>10</v>
      </c>
    </row>
    <row r="47" spans="1:16" x14ac:dyDescent="0.3">
      <c r="A47" t="s">
        <v>42</v>
      </c>
      <c r="C47" s="17"/>
      <c r="E47" t="s">
        <v>42</v>
      </c>
      <c r="G47" s="17"/>
      <c r="I47" t="s">
        <v>42</v>
      </c>
      <c r="K47" s="17"/>
      <c r="M47" t="s">
        <v>42</v>
      </c>
      <c r="O47" s="17"/>
    </row>
    <row r="61" spans="1:1" x14ac:dyDescent="0.3">
      <c r="A61" s="2" t="s">
        <v>22</v>
      </c>
    </row>
    <row r="63" spans="1:1" x14ac:dyDescent="0.3">
      <c r="A63" t="s">
        <v>23</v>
      </c>
    </row>
    <row r="64" spans="1:1" x14ac:dyDescent="0.3">
      <c r="A64" t="s">
        <v>24</v>
      </c>
    </row>
    <row r="65" spans="1:1" x14ac:dyDescent="0.3">
      <c r="A65" t="s">
        <v>26</v>
      </c>
    </row>
    <row r="66" spans="1:1" x14ac:dyDescent="0.3">
      <c r="A66" t="s">
        <v>27</v>
      </c>
    </row>
    <row r="67" spans="1:1" x14ac:dyDescent="0.3">
      <c r="A67" t="s">
        <v>28</v>
      </c>
    </row>
  </sheetData>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Data!$A$3:$A$11</xm:f>
          </x14:formula1>
          <xm:sqref>A10 A14 A18 A22 A26 A30 A34 A46 A42 A38 E10 E14 E18 E22 E26 E30 E34 E46 E42 E38 I10 I14 I18 I22 I26 I30 I34 I46 I42 I38 M10 M14 M18 M22 M26 M30 M34 M46 M42 M38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28"/>
  <sheetViews>
    <sheetView workbookViewId="0">
      <selection activeCell="F12" sqref="F12"/>
    </sheetView>
  </sheetViews>
  <sheetFormatPr defaultRowHeight="14.4" x14ac:dyDescent="0.3"/>
  <cols>
    <col min="1" max="1" width="19.44140625" customWidth="1"/>
    <col min="3" max="3" width="13.88671875" customWidth="1"/>
    <col min="6" max="6" width="13.6640625" customWidth="1"/>
  </cols>
  <sheetData>
    <row r="2" spans="1:12" x14ac:dyDescent="0.3">
      <c r="A2" t="s">
        <v>50</v>
      </c>
      <c r="B2" t="s">
        <v>12</v>
      </c>
      <c r="C2" t="s">
        <v>51</v>
      </c>
      <c r="E2" s="9" t="s">
        <v>57</v>
      </c>
      <c r="F2" s="9" t="s">
        <v>55</v>
      </c>
      <c r="G2" s="9" t="s">
        <v>29</v>
      </c>
      <c r="H2" s="9" t="s">
        <v>56</v>
      </c>
    </row>
    <row r="3" spans="1:12" x14ac:dyDescent="0.3">
      <c r="A3" t="s">
        <v>43</v>
      </c>
      <c r="B3">
        <v>3.5</v>
      </c>
      <c r="C3" s="5">
        <v>0</v>
      </c>
      <c r="E3" s="9">
        <v>8</v>
      </c>
      <c r="F3" s="6" t="s">
        <v>7</v>
      </c>
      <c r="G3" s="9">
        <v>100</v>
      </c>
      <c r="H3" s="9">
        <v>2</v>
      </c>
    </row>
    <row r="4" spans="1:12" x14ac:dyDescent="0.3">
      <c r="A4" t="s">
        <v>44</v>
      </c>
      <c r="B4">
        <v>7</v>
      </c>
      <c r="C4" s="5">
        <v>0</v>
      </c>
      <c r="E4" s="9">
        <v>26</v>
      </c>
      <c r="F4" s="6" t="s">
        <v>9</v>
      </c>
      <c r="G4" s="9">
        <v>211</v>
      </c>
      <c r="H4" s="9">
        <v>2.87</v>
      </c>
    </row>
    <row r="5" spans="1:12" x14ac:dyDescent="0.3">
      <c r="A5" t="s">
        <v>45</v>
      </c>
      <c r="B5">
        <v>10.5</v>
      </c>
      <c r="C5" s="5">
        <v>0</v>
      </c>
      <c r="E5" s="9">
        <v>37</v>
      </c>
      <c r="F5" s="6" t="s">
        <v>10</v>
      </c>
      <c r="G5" s="9">
        <v>270</v>
      </c>
      <c r="H5" s="9">
        <v>3.24</v>
      </c>
    </row>
    <row r="6" spans="1:12" x14ac:dyDescent="0.3">
      <c r="A6" t="s">
        <v>125</v>
      </c>
      <c r="B6">
        <v>27</v>
      </c>
      <c r="C6">
        <v>1</v>
      </c>
      <c r="E6" s="9">
        <v>76</v>
      </c>
      <c r="F6" s="6" t="s">
        <v>11</v>
      </c>
      <c r="G6" s="9">
        <v>500</v>
      </c>
      <c r="H6" s="9">
        <v>4.5</v>
      </c>
    </row>
    <row r="7" spans="1:12" x14ac:dyDescent="0.3">
      <c r="A7" t="s">
        <v>115</v>
      </c>
      <c r="B7">
        <v>23</v>
      </c>
      <c r="C7">
        <v>1</v>
      </c>
    </row>
    <row r="8" spans="1:12" x14ac:dyDescent="0.3">
      <c r="A8" t="s">
        <v>47</v>
      </c>
      <c r="B8">
        <v>20</v>
      </c>
      <c r="C8">
        <v>1</v>
      </c>
    </row>
    <row r="9" spans="1:12" x14ac:dyDescent="0.3">
      <c r="A9" t="s">
        <v>124</v>
      </c>
      <c r="B9">
        <v>17</v>
      </c>
      <c r="C9">
        <v>1</v>
      </c>
    </row>
    <row r="10" spans="1:12" x14ac:dyDescent="0.3">
      <c r="A10" t="s">
        <v>48</v>
      </c>
      <c r="B10">
        <v>14</v>
      </c>
      <c r="C10">
        <v>1</v>
      </c>
    </row>
    <row r="11" spans="1:12" x14ac:dyDescent="0.3">
      <c r="A11" t="s">
        <v>49</v>
      </c>
      <c r="B11">
        <v>12</v>
      </c>
      <c r="C11">
        <v>1</v>
      </c>
    </row>
    <row r="12" spans="1:12" x14ac:dyDescent="0.3">
      <c r="A12" t="s">
        <v>112</v>
      </c>
      <c r="B12" s="9">
        <v>0</v>
      </c>
      <c r="C12" s="9">
        <v>0</v>
      </c>
    </row>
    <row r="14" spans="1:12" x14ac:dyDescent="0.3">
      <c r="F14" s="1"/>
      <c r="G14" s="1"/>
      <c r="H14" s="1"/>
      <c r="I14" s="1"/>
      <c r="J14" s="1"/>
      <c r="K14" s="1"/>
      <c r="L14" s="1"/>
    </row>
    <row r="15" spans="1:12" x14ac:dyDescent="0.3">
      <c r="F15" s="1"/>
      <c r="G15" s="1"/>
      <c r="H15" s="1"/>
      <c r="I15" s="1"/>
      <c r="J15" s="1"/>
      <c r="K15" s="1"/>
      <c r="L15" s="1"/>
    </row>
    <row r="16" spans="1:12" x14ac:dyDescent="0.3">
      <c r="F16" s="1"/>
      <c r="G16" s="1"/>
      <c r="H16" s="1"/>
      <c r="I16" s="1"/>
      <c r="J16" s="1"/>
      <c r="K16" s="1"/>
      <c r="L16" s="1"/>
    </row>
    <row r="18" spans="1:14" x14ac:dyDescent="0.3">
      <c r="A18" s="96" t="s">
        <v>15</v>
      </c>
      <c r="B18" s="96"/>
      <c r="C18" s="96" t="s">
        <v>16</v>
      </c>
      <c r="D18" s="96"/>
      <c r="E18" s="96" t="s">
        <v>17</v>
      </c>
      <c r="F18" s="96"/>
      <c r="G18" s="96" t="s">
        <v>0</v>
      </c>
      <c r="H18" s="96"/>
      <c r="J18" s="96" t="s">
        <v>34</v>
      </c>
      <c r="K18" s="96"/>
    </row>
    <row r="19" spans="1:14" x14ac:dyDescent="0.3">
      <c r="A19" s="8" t="s">
        <v>14</v>
      </c>
      <c r="B19" s="8" t="s">
        <v>12</v>
      </c>
      <c r="C19" s="8" t="s">
        <v>14</v>
      </c>
      <c r="D19" s="8" t="s">
        <v>12</v>
      </c>
      <c r="E19" s="8" t="s">
        <v>14</v>
      </c>
      <c r="F19" s="8" t="s">
        <v>12</v>
      </c>
      <c r="G19" s="8" t="s">
        <v>14</v>
      </c>
      <c r="H19" s="8" t="s">
        <v>12</v>
      </c>
      <c r="J19" s="10" t="s">
        <v>33</v>
      </c>
      <c r="K19" s="13" t="s">
        <v>32</v>
      </c>
      <c r="L19" s="10" t="s">
        <v>8</v>
      </c>
      <c r="M19" s="13" t="s">
        <v>30</v>
      </c>
      <c r="N19" s="13" t="s">
        <v>29</v>
      </c>
    </row>
    <row r="20" spans="1:14" x14ac:dyDescent="0.3">
      <c r="A20" s="7">
        <v>8</v>
      </c>
      <c r="B20" s="7">
        <v>1.85</v>
      </c>
      <c r="C20" s="7">
        <v>8</v>
      </c>
      <c r="D20" s="7">
        <v>3.6</v>
      </c>
      <c r="E20" s="7" t="s">
        <v>3</v>
      </c>
      <c r="F20" s="7" t="s">
        <v>3</v>
      </c>
      <c r="G20" s="7" t="s">
        <v>3</v>
      </c>
      <c r="H20" s="7" t="s">
        <v>3</v>
      </c>
      <c r="J20" s="7">
        <v>2</v>
      </c>
      <c r="K20" s="11" t="s">
        <v>35</v>
      </c>
      <c r="L20" s="11" t="s">
        <v>7</v>
      </c>
      <c r="M20" s="14">
        <v>8</v>
      </c>
      <c r="N20" s="7">
        <v>100</v>
      </c>
    </row>
    <row r="21" spans="1:14" x14ac:dyDescent="0.3">
      <c r="A21" s="7">
        <v>10</v>
      </c>
      <c r="B21" s="7">
        <v>1.6</v>
      </c>
      <c r="C21" s="7">
        <v>10</v>
      </c>
      <c r="D21" s="7">
        <v>2</v>
      </c>
      <c r="E21" s="7">
        <v>10</v>
      </c>
      <c r="F21" s="7">
        <v>3.9</v>
      </c>
      <c r="G21" s="7" t="s">
        <v>3</v>
      </c>
      <c r="H21" s="7" t="s">
        <v>3</v>
      </c>
      <c r="J21" s="7">
        <v>2.87</v>
      </c>
      <c r="K21" s="11" t="s">
        <v>36</v>
      </c>
      <c r="L21" s="11" t="s">
        <v>9</v>
      </c>
      <c r="M21" s="15">
        <v>26</v>
      </c>
      <c r="N21" s="7">
        <v>211</v>
      </c>
    </row>
    <row r="22" spans="1:14" x14ac:dyDescent="0.3">
      <c r="A22" s="7">
        <v>12</v>
      </c>
      <c r="B22" s="7">
        <v>1.2</v>
      </c>
      <c r="C22" s="7">
        <v>12</v>
      </c>
      <c r="D22" s="7">
        <v>1.9</v>
      </c>
      <c r="E22" s="7">
        <v>12</v>
      </c>
      <c r="F22" s="7">
        <v>3.9</v>
      </c>
      <c r="G22" s="7" t="s">
        <v>3</v>
      </c>
      <c r="H22" s="7" t="s">
        <v>3</v>
      </c>
      <c r="J22" s="7">
        <v>3.24</v>
      </c>
      <c r="K22" s="11" t="s">
        <v>37</v>
      </c>
      <c r="L22" s="11" t="s">
        <v>10</v>
      </c>
      <c r="M22" s="7">
        <v>37</v>
      </c>
      <c r="N22" s="7">
        <v>270</v>
      </c>
    </row>
    <row r="23" spans="1:14" x14ac:dyDescent="0.3">
      <c r="A23" s="7">
        <v>14</v>
      </c>
      <c r="B23" s="7">
        <v>1.2</v>
      </c>
      <c r="C23" s="7">
        <v>14</v>
      </c>
      <c r="D23" s="7">
        <v>1.4</v>
      </c>
      <c r="E23" s="7">
        <v>14</v>
      </c>
      <c r="F23" s="7">
        <v>2</v>
      </c>
      <c r="G23" s="7">
        <v>14</v>
      </c>
      <c r="H23" s="7">
        <v>5.5</v>
      </c>
      <c r="J23" s="7">
        <v>4.5</v>
      </c>
      <c r="K23" s="11" t="s">
        <v>38</v>
      </c>
      <c r="L23" s="11" t="s">
        <v>11</v>
      </c>
      <c r="M23" s="7">
        <v>76</v>
      </c>
      <c r="N23" s="7">
        <v>500</v>
      </c>
    </row>
    <row r="24" spans="1:14" x14ac:dyDescent="0.3">
      <c r="A24" s="7">
        <v>16</v>
      </c>
      <c r="B24" s="7">
        <v>1.1000000000000001</v>
      </c>
      <c r="C24" s="7">
        <v>16</v>
      </c>
      <c r="D24" s="7">
        <v>1.1000000000000001</v>
      </c>
      <c r="E24" s="7">
        <v>16</v>
      </c>
      <c r="F24" s="7">
        <v>1.5</v>
      </c>
      <c r="G24" s="7">
        <v>16</v>
      </c>
      <c r="H24" s="7">
        <v>4</v>
      </c>
    </row>
    <row r="25" spans="1:14" x14ac:dyDescent="0.3">
      <c r="A25" s="7">
        <v>18</v>
      </c>
      <c r="B25" s="7">
        <v>1.1000000000000001</v>
      </c>
      <c r="C25" s="7">
        <v>18</v>
      </c>
      <c r="D25" s="7">
        <v>0.8</v>
      </c>
      <c r="E25" s="7">
        <v>18</v>
      </c>
      <c r="F25" s="7">
        <v>1.2</v>
      </c>
      <c r="G25" s="7">
        <v>18</v>
      </c>
      <c r="H25" s="7">
        <v>1.5</v>
      </c>
    </row>
    <row r="26" spans="1:14" x14ac:dyDescent="0.3">
      <c r="A26" s="7">
        <v>20</v>
      </c>
      <c r="B26" s="7">
        <v>1.1000000000000001</v>
      </c>
      <c r="C26" s="7">
        <v>20</v>
      </c>
      <c r="D26" s="7">
        <v>0.8</v>
      </c>
      <c r="E26" s="7">
        <v>20</v>
      </c>
      <c r="F26" s="7">
        <v>0.8</v>
      </c>
      <c r="G26" s="7">
        <v>20</v>
      </c>
      <c r="H26" s="7">
        <v>1.5</v>
      </c>
    </row>
    <row r="27" spans="1:14" x14ac:dyDescent="0.3">
      <c r="A27" s="7">
        <v>24</v>
      </c>
      <c r="B27" s="7">
        <v>1.1000000000000001</v>
      </c>
      <c r="C27" s="7">
        <v>24</v>
      </c>
      <c r="D27" s="7">
        <v>0.8</v>
      </c>
      <c r="E27" s="7">
        <v>24</v>
      </c>
      <c r="F27" s="7">
        <v>0.8</v>
      </c>
      <c r="G27" s="7">
        <v>23</v>
      </c>
      <c r="H27" s="7">
        <v>1.6</v>
      </c>
    </row>
    <row r="28" spans="1:14" x14ac:dyDescent="0.3">
      <c r="A28" t="s">
        <v>25</v>
      </c>
    </row>
  </sheetData>
  <mergeCells count="5">
    <mergeCell ref="A18:B18"/>
    <mergeCell ref="C18:D18"/>
    <mergeCell ref="E18:F18"/>
    <mergeCell ref="G18:H18"/>
    <mergeCell ref="J18:K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RF System Calc</vt:lpstr>
      <vt:lpstr>RF System Calc P2</vt:lpstr>
      <vt:lpstr>Daisy Chain Calc</vt:lpstr>
      <vt:lpstr>Data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Engstrom</dc:creator>
  <cp:lastModifiedBy>Sara K</cp:lastModifiedBy>
  <cp:lastPrinted>2013-11-25T13:05:25Z</cp:lastPrinted>
  <dcterms:created xsi:type="dcterms:W3CDTF">2012-12-07T15:09:47Z</dcterms:created>
  <dcterms:modified xsi:type="dcterms:W3CDTF">2020-09-15T21:19:58Z</dcterms:modified>
</cp:coreProperties>
</file>